
<file path=[Content_Types].xml><?xml version="1.0" encoding="utf-8"?>
<Types xmlns="http://schemas.openxmlformats.org/package/2006/content-types">
  <Default Extension="bin" ContentType="application/vnd.openxmlformats-officedocument.oleObject"/>
  <Default Extension="emf" ContentType="image/x-em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printerSettings/printerSettings1.bin" ContentType="application/vnd.openxmlformats-officedocument.spreadsheetml.printerSettings"/>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printerSettings/printerSettings2.bin" ContentType="application/vnd.openxmlformats-officedocument.spreadsheetml.printerSettings"/>
  <Override PartName="/xl/drawings/drawing10.xml" ContentType="application/vnd.openxmlformats-officedocument.drawing+xml"/>
  <Override PartName="/xl/printerSettings/printerSettings3.bin" ContentType="application/vnd.openxmlformats-officedocument.spreadsheetml.printerSettings"/>
  <Override PartName="/xl/drawings/drawing11.xml" ContentType="application/vnd.openxmlformats-officedocument.drawing+xml"/>
  <Override PartName="/xl/printerSettings/printerSettings4.bin" ContentType="application/vnd.openxmlformats-officedocument.spreadsheetml.printerSettings"/>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425"/>
  <workbookPr/>
  <mc:AlternateContent xmlns:mc="http://schemas.openxmlformats.org/markup-compatibility/2006">
    <mc:Choice Requires="x15">
      <x15ac:absPath xmlns:x15ac="http://schemas.microsoft.com/office/spreadsheetml/2010/11/ac" url="C:\Users\PC4\Desktop\PCB Driver CTCU Flyback\Driver 02-03-04 nut\CTCU - 2-3-4 nut (19-04-2024)\"/>
    </mc:Choice>
  </mc:AlternateContent>
  <xr:revisionPtr revIDLastSave="0" documentId="13_ncr:1_{2CBDE891-0094-4DAC-A2AD-54475F11E708}" xr6:coauthVersionLast="47" xr6:coauthVersionMax="47" xr10:uidLastSave="{00000000-0000-0000-0000-000000000000}"/>
  <bookViews>
    <workbookView xWindow="-120" yWindow="-120" windowWidth="29040" windowHeight="15990" firstSheet="6" activeTab="12" xr2:uid="{00000000-000D-0000-FFFF-FFFF00000000}"/>
  </bookViews>
  <sheets>
    <sheet name="Sheet1" sheetId="1" state="hidden" r:id="rId1"/>
    <sheet name="Lựa chọn linh kiện" sheetId="12" state="hidden" r:id="rId2"/>
    <sheet name="Sơ đồ nguyên lý Driver" sheetId="15" r:id="rId3"/>
    <sheet name="Tụ hóa đầu vào" sheetId="9" r:id="rId4"/>
    <sheet name="Biến áp + Diode" sheetId="10" r:id="rId5"/>
    <sheet name="Trở khởi động" sheetId="7" r:id="rId6"/>
    <sheet name="Snubber" sheetId="6" r:id="rId7"/>
    <sheet name="Layout PCB" sheetId="19" r:id="rId8"/>
    <sheet name="Nhiễu EMC" sheetId="8" r:id="rId9"/>
    <sheet name="Thông số điện áp đầu ra" sheetId="16" r:id="rId10"/>
    <sheet name="Ripple điện áp đầu ra" sheetId="17" r:id="rId11"/>
    <sheet name="Dạng sóng làm việc" sheetId="4" r:id="rId12"/>
    <sheet name="Nhiệt độ" sheetId="3" r:id="rId13"/>
    <sheet name="Hở tải - Ngắn mạch - Ứng suất" sheetId="21" r:id="rId14"/>
    <sheet name="An toàn điện" sheetId="20" state="hidden" r:id="rId15"/>
    <sheet name="Cuộn biến áp" sheetId="5" state="hidden" r:id="rId16"/>
    <sheet name="Diode xả" sheetId="11" state="hidden" r:id="rId17"/>
    <sheet name="Lưu ý thiết kế mạch Touch" sheetId="14" r:id="rId18"/>
    <sheet name="Tiêu chí thử nghiệm" sheetId="13" r:id="rId19"/>
    <sheet name="Sheet2" sheetId="2" state="hidden" r:id="rId20"/>
  </sheets>
  <definedNames>
    <definedName name="_xlnm.Print_Area" localSheetId="11">'Dạng sóng làm việc'!$A$1:$I$23</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U5" i="10" l="1"/>
  <c r="F3" i="6"/>
  <c r="V26" i="16"/>
  <c r="U26" i="16"/>
  <c r="T26" i="16"/>
  <c r="S26" i="16"/>
  <c r="R26" i="16"/>
  <c r="Q26" i="16"/>
  <c r="P26" i="16"/>
  <c r="O26" i="16"/>
  <c r="N26" i="16"/>
  <c r="M26" i="16"/>
  <c r="L26" i="16"/>
  <c r="K26" i="16"/>
  <c r="J26" i="16"/>
  <c r="I26" i="16"/>
  <c r="H26" i="16"/>
  <c r="G26" i="16"/>
  <c r="F26" i="16"/>
  <c r="E26" i="16"/>
  <c r="V25" i="16"/>
  <c r="U25" i="16"/>
  <c r="T25" i="16"/>
  <c r="S25" i="16"/>
  <c r="R25" i="16"/>
  <c r="Q25" i="16"/>
  <c r="P25" i="16"/>
  <c r="O25" i="16"/>
  <c r="N25" i="16"/>
  <c r="M25" i="16"/>
  <c r="L25" i="16"/>
  <c r="K25" i="16"/>
  <c r="J25" i="16"/>
  <c r="I25" i="16"/>
  <c r="H25" i="16"/>
  <c r="G25" i="16"/>
  <c r="F25" i="16"/>
  <c r="E25" i="16"/>
  <c r="V24" i="16"/>
  <c r="U24" i="16"/>
  <c r="T24" i="16"/>
  <c r="S24" i="16"/>
  <c r="R24" i="16"/>
  <c r="Q24" i="16"/>
  <c r="P24" i="16"/>
  <c r="O24" i="16"/>
  <c r="N24" i="16"/>
  <c r="M24" i="16"/>
  <c r="L24" i="16"/>
  <c r="K24" i="16"/>
  <c r="J24" i="16"/>
  <c r="I24" i="16"/>
  <c r="H24" i="16"/>
  <c r="G24" i="16"/>
  <c r="F24" i="16"/>
  <c r="E24" i="16"/>
  <c r="V19" i="16"/>
  <c r="U19" i="16"/>
  <c r="T19" i="16"/>
  <c r="S19" i="16"/>
  <c r="R19" i="16"/>
  <c r="Q19" i="16"/>
  <c r="P19" i="16"/>
  <c r="O19" i="16"/>
  <c r="N19" i="16"/>
  <c r="M19" i="16"/>
  <c r="L19" i="16"/>
  <c r="K19" i="16"/>
  <c r="J19" i="16"/>
  <c r="I19" i="16"/>
  <c r="H19" i="16"/>
  <c r="G19" i="16"/>
  <c r="F19" i="16"/>
  <c r="E19" i="16"/>
  <c r="V18" i="16"/>
  <c r="U18" i="16"/>
  <c r="T18" i="16"/>
  <c r="S18" i="16"/>
  <c r="R18" i="16"/>
  <c r="Q18" i="16"/>
  <c r="P18" i="16"/>
  <c r="O18" i="16"/>
  <c r="N18" i="16"/>
  <c r="M18" i="16"/>
  <c r="L18" i="16"/>
  <c r="K18" i="16"/>
  <c r="J18" i="16"/>
  <c r="I18" i="16"/>
  <c r="H18" i="16"/>
  <c r="G18" i="16"/>
  <c r="F18" i="16"/>
  <c r="E18" i="16"/>
  <c r="V17" i="16"/>
  <c r="U17" i="16"/>
  <c r="T17" i="16"/>
  <c r="S17" i="16"/>
  <c r="R17" i="16"/>
  <c r="Q17" i="16"/>
  <c r="P17" i="16"/>
  <c r="O17" i="16"/>
  <c r="N17" i="16"/>
  <c r="M17" i="16"/>
  <c r="L17" i="16"/>
  <c r="K17" i="16"/>
  <c r="J17" i="16"/>
  <c r="I17" i="16"/>
  <c r="H17" i="16"/>
  <c r="G17" i="16"/>
  <c r="F17" i="16"/>
  <c r="E17" i="16"/>
  <c r="V12" i="16"/>
  <c r="U12" i="16"/>
  <c r="T12" i="16"/>
  <c r="S12" i="16"/>
  <c r="R12" i="16"/>
  <c r="Q12" i="16"/>
  <c r="P12" i="16"/>
  <c r="O12" i="16"/>
  <c r="N12" i="16"/>
  <c r="M12" i="16"/>
  <c r="L12" i="16"/>
  <c r="K12" i="16"/>
  <c r="J12" i="16"/>
  <c r="I12" i="16"/>
  <c r="H12" i="16"/>
  <c r="G12" i="16"/>
  <c r="F12" i="16"/>
  <c r="E12" i="16"/>
  <c r="V11" i="16"/>
  <c r="U11" i="16"/>
  <c r="T11" i="16"/>
  <c r="S11" i="16"/>
  <c r="R11" i="16"/>
  <c r="Q11" i="16"/>
  <c r="P11" i="16"/>
  <c r="O11" i="16"/>
  <c r="N11" i="16"/>
  <c r="M11" i="16"/>
  <c r="L11" i="16"/>
  <c r="K11" i="16"/>
  <c r="J11" i="16"/>
  <c r="I11" i="16"/>
  <c r="H11" i="16"/>
  <c r="G11" i="16"/>
  <c r="F11" i="16"/>
  <c r="E11" i="16"/>
  <c r="V10" i="16"/>
  <c r="U10" i="16"/>
  <c r="T10" i="16"/>
  <c r="S10" i="16"/>
  <c r="R10" i="16"/>
  <c r="Q10" i="16"/>
  <c r="P10" i="16"/>
  <c r="O10" i="16"/>
  <c r="N10" i="16"/>
  <c r="M10" i="16"/>
  <c r="L10" i="16"/>
  <c r="K10" i="16"/>
  <c r="J10" i="16"/>
  <c r="I10" i="16"/>
  <c r="H10" i="16"/>
  <c r="G10" i="16"/>
  <c r="F10" i="16"/>
  <c r="E10" i="16"/>
  <c r="V52" i="16"/>
  <c r="U52" i="16"/>
  <c r="T52" i="16"/>
  <c r="S52" i="16"/>
  <c r="R52" i="16"/>
  <c r="Q52" i="16"/>
  <c r="P52" i="16"/>
  <c r="O52" i="16"/>
  <c r="N52" i="16"/>
  <c r="M52" i="16"/>
  <c r="L52" i="16"/>
  <c r="K52" i="16"/>
  <c r="J52" i="16"/>
  <c r="I52" i="16"/>
  <c r="H52" i="16"/>
  <c r="G52" i="16"/>
  <c r="F52" i="16"/>
  <c r="E52" i="16"/>
  <c r="V51" i="16"/>
  <c r="U51" i="16"/>
  <c r="T51" i="16"/>
  <c r="S51" i="16"/>
  <c r="R51" i="16"/>
  <c r="Q51" i="16"/>
  <c r="P51" i="16"/>
  <c r="O51" i="16"/>
  <c r="N51" i="16"/>
  <c r="M51" i="16"/>
  <c r="L51" i="16"/>
  <c r="K51" i="16"/>
  <c r="J51" i="16"/>
  <c r="I51" i="16"/>
  <c r="H51" i="16"/>
  <c r="G51" i="16"/>
  <c r="F51" i="16"/>
  <c r="E51" i="16"/>
  <c r="V50" i="16"/>
  <c r="U50" i="16"/>
  <c r="T50" i="16"/>
  <c r="S50" i="16"/>
  <c r="R50" i="16"/>
  <c r="Q50" i="16"/>
  <c r="P50" i="16"/>
  <c r="O50" i="16"/>
  <c r="N50" i="16"/>
  <c r="M50" i="16"/>
  <c r="L50" i="16"/>
  <c r="K50" i="16"/>
  <c r="J50" i="16"/>
  <c r="I50" i="16"/>
  <c r="H50" i="16"/>
  <c r="G50" i="16"/>
  <c r="F50" i="16"/>
  <c r="E50" i="16"/>
  <c r="V45" i="16"/>
  <c r="U45" i="16"/>
  <c r="T45" i="16"/>
  <c r="S45" i="16"/>
  <c r="R45" i="16"/>
  <c r="Q45" i="16"/>
  <c r="P45" i="16"/>
  <c r="O45" i="16"/>
  <c r="N45" i="16"/>
  <c r="M45" i="16"/>
  <c r="L45" i="16"/>
  <c r="K45" i="16"/>
  <c r="J45" i="16"/>
  <c r="I45" i="16"/>
  <c r="H45" i="16"/>
  <c r="G45" i="16"/>
  <c r="F45" i="16"/>
  <c r="E45" i="16"/>
  <c r="V44" i="16"/>
  <c r="U44" i="16"/>
  <c r="T44" i="16"/>
  <c r="S44" i="16"/>
  <c r="R44" i="16"/>
  <c r="Q44" i="16"/>
  <c r="P44" i="16"/>
  <c r="O44" i="16"/>
  <c r="N44" i="16"/>
  <c r="M44" i="16"/>
  <c r="L44" i="16"/>
  <c r="K44" i="16"/>
  <c r="J44" i="16"/>
  <c r="I44" i="16"/>
  <c r="H44" i="16"/>
  <c r="G44" i="16"/>
  <c r="F44" i="16"/>
  <c r="E44" i="16"/>
  <c r="V43" i="16"/>
  <c r="U43" i="16"/>
  <c r="T43" i="16"/>
  <c r="S43" i="16"/>
  <c r="R43" i="16"/>
  <c r="Q43" i="16"/>
  <c r="P43" i="16"/>
  <c r="O43" i="16"/>
  <c r="N43" i="16"/>
  <c r="M43" i="16"/>
  <c r="L43" i="16"/>
  <c r="K43" i="16"/>
  <c r="J43" i="16"/>
  <c r="I43" i="16"/>
  <c r="H43" i="16"/>
  <c r="G43" i="16"/>
  <c r="F43" i="16"/>
  <c r="E43" i="16"/>
  <c r="F36" i="16"/>
  <c r="G36" i="16"/>
  <c r="H36" i="16"/>
  <c r="I36" i="16"/>
  <c r="J36" i="16"/>
  <c r="K36" i="16"/>
  <c r="L36" i="16"/>
  <c r="M36" i="16"/>
  <c r="N36" i="16"/>
  <c r="O36" i="16"/>
  <c r="P36" i="16"/>
  <c r="Q36" i="16"/>
  <c r="R36" i="16"/>
  <c r="S36" i="16"/>
  <c r="T36" i="16"/>
  <c r="U36" i="16"/>
  <c r="V36" i="16"/>
  <c r="F37" i="16"/>
  <c r="G37" i="16"/>
  <c r="H37" i="16"/>
  <c r="I37" i="16"/>
  <c r="J37" i="16"/>
  <c r="K37" i="16"/>
  <c r="L37" i="16"/>
  <c r="M37" i="16"/>
  <c r="N37" i="16"/>
  <c r="O37" i="16"/>
  <c r="P37" i="16"/>
  <c r="Q37" i="16"/>
  <c r="R37" i="16"/>
  <c r="S37" i="16"/>
  <c r="T37" i="16"/>
  <c r="U37" i="16"/>
  <c r="V37" i="16"/>
  <c r="F38" i="16"/>
  <c r="G38" i="16"/>
  <c r="H38" i="16"/>
  <c r="I38" i="16"/>
  <c r="J38" i="16"/>
  <c r="K38" i="16"/>
  <c r="L38" i="16"/>
  <c r="M38" i="16"/>
  <c r="N38" i="16"/>
  <c r="O38" i="16"/>
  <c r="P38" i="16"/>
  <c r="Q38" i="16"/>
  <c r="R38" i="16"/>
  <c r="S38" i="16"/>
  <c r="T38" i="16"/>
  <c r="U38" i="16"/>
  <c r="V38" i="16"/>
  <c r="E38" i="16"/>
  <c r="E37" i="16"/>
  <c r="E36" i="16"/>
  <c r="D36" i="10" l="1"/>
  <c r="D34" i="10"/>
  <c r="D35" i="10"/>
  <c r="D33" i="10"/>
  <c r="D32" i="10"/>
  <c r="D31" i="10"/>
  <c r="D30" i="10"/>
  <c r="E19" i="10"/>
  <c r="E20" i="10" s="1"/>
  <c r="I5" i="7"/>
  <c r="T11" i="10"/>
  <c r="U11" i="10" s="1"/>
  <c r="E2" i="7"/>
  <c r="C7" i="7"/>
  <c r="E7" i="7" s="1"/>
  <c r="C6" i="7"/>
  <c r="E6" i="7" s="1"/>
  <c r="C5" i="7"/>
  <c r="E5" i="7" s="1"/>
  <c r="M5" i="12"/>
  <c r="E5" i="12"/>
  <c r="E4" i="12"/>
  <c r="E3" i="12"/>
  <c r="E19" i="12"/>
  <c r="E17" i="12"/>
  <c r="E15" i="12"/>
  <c r="E14" i="12"/>
  <c r="E21" i="12" s="1"/>
  <c r="E24" i="10"/>
  <c r="E25" i="10" s="1"/>
  <c r="U9" i="10"/>
  <c r="T9" i="10"/>
  <c r="T8" i="10"/>
  <c r="T7" i="10"/>
  <c r="U6" i="10"/>
  <c r="E22" i="10" s="1"/>
  <c r="T6" i="10"/>
  <c r="T5" i="10"/>
  <c r="K15" i="10"/>
  <c r="K14" i="10"/>
  <c r="K13" i="10"/>
  <c r="K11" i="10"/>
  <c r="K10" i="10"/>
  <c r="L8" i="10"/>
  <c r="U8" i="10" s="1"/>
  <c r="K12" i="10"/>
  <c r="K6" i="10"/>
  <c r="K7" i="10" s="1"/>
  <c r="K5" i="10"/>
  <c r="D14" i="9"/>
  <c r="D7" i="9"/>
  <c r="D9" i="9" s="1"/>
  <c r="D6" i="9"/>
  <c r="D8" i="9" s="1"/>
  <c r="D13" i="5" s="1"/>
  <c r="D10" i="5"/>
  <c r="D12" i="5" s="1"/>
  <c r="H58" i="1"/>
  <c r="H59" i="1"/>
  <c r="H57" i="1"/>
  <c r="J55" i="1" s="1"/>
  <c r="J43" i="1"/>
  <c r="K46" i="1" s="1"/>
  <c r="V43" i="1"/>
  <c r="Q30" i="1"/>
  <c r="Q29" i="1"/>
  <c r="J18" i="1"/>
  <c r="L25" i="1" s="1"/>
  <c r="J17" i="1"/>
  <c r="D17" i="5" l="1"/>
  <c r="K5" i="7"/>
  <c r="M5" i="7" s="1"/>
  <c r="N5" i="7" s="1"/>
  <c r="M4" i="12"/>
  <c r="F5" i="6"/>
  <c r="K8" i="10"/>
  <c r="K9" i="10" s="1"/>
  <c r="U7" i="10"/>
  <c r="T12" i="10" s="1"/>
  <c r="U12" i="10" s="1"/>
  <c r="T10" i="10"/>
  <c r="U10" i="10" s="1"/>
  <c r="F4" i="6" s="1"/>
  <c r="P38" i="1"/>
  <c r="J44" i="1"/>
  <c r="L24" i="1"/>
  <c r="L26" i="1" s="1"/>
  <c r="L27" i="1" s="1"/>
  <c r="J23" i="1"/>
  <c r="D15" i="9"/>
  <c r="D17" i="9" s="1"/>
  <c r="D18" i="9" s="1"/>
  <c r="F6" i="6" l="1"/>
  <c r="D20" i="9"/>
  <c r="E7" i="12" s="1"/>
  <c r="D19" i="9"/>
  <c r="E6" i="12" s="1"/>
  <c r="F9" i="6" l="1"/>
  <c r="F10" i="6" s="1"/>
  <c r="F11" i="6" s="1"/>
  <c r="F14" i="6" s="1"/>
  <c r="M9" i="12" s="1"/>
  <c r="M6" i="12"/>
  <c r="F15" i="6"/>
  <c r="M10" i="12" s="1"/>
</calcChain>
</file>

<file path=xl/sharedStrings.xml><?xml version="1.0" encoding="utf-8"?>
<sst xmlns="http://schemas.openxmlformats.org/spreadsheetml/2006/main" count="1194" uniqueCount="770">
  <si>
    <t>Kênh 1</t>
  </si>
  <si>
    <t>Kênh 2</t>
  </si>
  <si>
    <t>Cầu Diode</t>
  </si>
  <si>
    <t>Tụ hóa đầu vào</t>
  </si>
  <si>
    <t>Relay 1</t>
  </si>
  <si>
    <t>Relay 2</t>
  </si>
  <si>
    <t>Relay 3</t>
  </si>
  <si>
    <t>Relay 4</t>
  </si>
  <si>
    <t>Môi trường</t>
  </si>
  <si>
    <t>IC nguồn</t>
  </si>
  <si>
    <t>Diode xả</t>
  </si>
  <si>
    <t>Cuộn biến áp</t>
  </si>
  <si>
    <t>Tụ 5V (1)</t>
  </si>
  <si>
    <t>Tụ 5V(2)</t>
  </si>
  <si>
    <t>Cuộn lọc</t>
  </si>
  <si>
    <t>IC LDO</t>
  </si>
  <si>
    <t>Tụ 3.3V</t>
  </si>
  <si>
    <t>25 độ 
(Có vỏ)</t>
  </si>
  <si>
    <t>50 độ 
(Có vỏ)</t>
  </si>
  <si>
    <t>Nút 1</t>
  </si>
  <si>
    <t>Nút 2</t>
  </si>
  <si>
    <t>Nút 3</t>
  </si>
  <si>
    <t>Nút 4</t>
  </si>
  <si>
    <t>1 x Kính 2mm</t>
  </si>
  <si>
    <t>2 x Kính 2mm</t>
  </si>
  <si>
    <t>1x Mica 3mm</t>
  </si>
  <si>
    <t>1x Mica 2mm</t>
  </si>
  <si>
    <t>OK</t>
  </si>
  <si>
    <t>Kém nhạy</t>
  </si>
  <si>
    <t>X</t>
  </si>
  <si>
    <t>Kiểm tra độ nhạy từng nút (Tụ 1.9pF // Tụ 1.9pF)</t>
  </si>
  <si>
    <r>
      <t xml:space="preserve">- Tại nhiệt độ 50 độ C, điện áp 220VAC, Nút số 3 trên CTCU 4 nút xuất hiện hiện tượng tự bật nút.
</t>
    </r>
    <r>
      <rPr>
        <sz val="11"/>
        <color rgb="FFFF0000"/>
        <rFont val="Calibri"/>
        <family val="2"/>
        <scheme val="minor"/>
      </rPr>
      <t xml:space="preserve"> - 60 phút, Tự nhảy nút 3 lần với tụ 1.9pF</t>
    </r>
    <r>
      <rPr>
        <sz val="11"/>
        <color theme="1"/>
        <rFont val="Calibri"/>
        <family val="2"/>
        <scheme val="minor"/>
      </rPr>
      <t xml:space="preserve">
</t>
    </r>
    <r>
      <rPr>
        <sz val="11"/>
        <color rgb="FFFF0000"/>
        <rFont val="Calibri"/>
        <family val="2"/>
        <scheme val="minor"/>
      </rPr>
      <t>- 60 phút, Bình thường với 2 x Tụ 1.9pF</t>
    </r>
    <r>
      <rPr>
        <sz val="11"/>
        <color theme="1"/>
        <rFont val="Calibri"/>
        <family val="2"/>
        <scheme val="minor"/>
      </rPr>
      <t xml:space="preserve">
(Nhiệt độ tăng --&gt; Giá trị tụ của nút cảm ứng giảm --&gt; độ nhạy tăng --&gt; tự bật nút)</t>
    </r>
  </si>
  <si>
    <t>Kiểm tra độ nhạy từng nút (Tụ 1.9pF)</t>
  </si>
  <si>
    <t>- Kém nhạy</t>
  </si>
  <si>
    <t>Kết Luận:</t>
  </si>
  <si>
    <r>
      <t xml:space="preserve">Trong quá trình kiểm tra nhiệt độ 180p  xuất-hiện hiện-tượng tự động nhảy nút số 3
</t>
    </r>
    <r>
      <rPr>
        <sz val="11"/>
        <color rgb="FFFF0000"/>
        <rFont val="Calibri"/>
        <family val="2"/>
        <scheme val="minor"/>
      </rPr>
      <t xml:space="preserve"> - 60 phút, Tự nhảy nút 1 lần với tụ 1.9pF
- 60 phút, Bình thường với 2 x Tụ 1.9pF</t>
    </r>
  </si>
  <si>
    <t>- Nhấn giữ lâu hơn các nút 1 , 2, 4 để nhận diện thao tác, thời gian nhận cảm ứng 50-80mS.
- Thường xuyên bị miss cảm ứng tại nút số 3 (Trong cả hai chế độ FastMode và Lowpower Mode) khi thử nghiệm với Driver. Không gặp trường hợp miss cảm ứng khi thử với nguồn chuẩn DC
- Thời gian xử lý cảm ứng chậm hơn IC SGL8022K. Có khoảng Delay 200-600mS giữa hai hoặc nhiều lần nhấn liên tiếp.
- Giá trị tụ điện điều chỉnh độ nhạy:
     + Nằm trong khoảng 1-6pF để có thể ấn nút cảm ứng.
     + Giá trị tụ điện điều chỉnh độ nhạy &gt;= 7pF gây ra tình trạng đơ / kém nhạy trên nút.
     + Giá trị tụ = 0pF, Nút cảm ứng hoạt động không ổn định, tự động bật/tắt nút số 3 (Vị trí gần cuồn biến áp) khi nhiệt độ tăng cao. 
     + Giá trị tụ = 1.9pF, Nút cảm ứng hoạt động không ổn định, tự động bật/tắt nút số 3 (Vị trí gần cuồn biến áp) khi nhiệt độ tăng cao. 
     + Giá trị tụ = 3.9pF, Nút cảm ứng hoạt động không ổn định, nút số 3 (Vị trí gần cuồn biến áp) kém nhạy, thường xuyên miss cảm ứng. 
- ĐIều kiện độ ẩm không ảnh hưởng tới độ nhạy nút cảm ứng.
- Điều kiện nhiệt độ môi trường ảnh hưởng tới độ nhạy cảm ứng của nút theo hướng tăng lên. (Trường hợp Driver và nguồn chuẩn DC)
- Trường hợp đặc biệt: Bật nút 1, 2, 3, 4. Sau đó lần lượt tắt các nút 1, 2, 4. Nút số 3 sẽ bị đơ cảm ứng trong khoảng thời gian 2-3s khi thử nghiệm với Driver (Xảy ra ngẫu nhiên, không có khoảng thời gian cụ thể). Không gặp khi thử với nguồn chuẩn DC</t>
  </si>
  <si>
    <t>- Diện tích tiếp xúc với nút cảm ứng yêu cầu lớn hơn so với ic SGL8022K'</t>
  </si>
  <si>
    <t>- Thời gian xử lý cảm ứng chậm hơn IC SGL8022K. Có khoảng Delay 200-600mS giữa hai hoặc nhiều lần nhấn liên tiếp.</t>
  </si>
  <si>
    <t>SGL</t>
  </si>
  <si>
    <t>65-82ms</t>
  </si>
  <si>
    <t>ttp</t>
  </si>
  <si>
    <t>90-120ms</t>
  </si>
  <si>
    <t>- tự bật/tắt
(nhiễu cảm ứng)</t>
  </si>
  <si>
    <t>NS</t>
  </si>
  <si>
    <t>Naux</t>
  </si>
  <si>
    <t>Vd</t>
  </si>
  <si>
    <t>Vòng</t>
  </si>
  <si>
    <t>Volt</t>
  </si>
  <si>
    <t>Vo</t>
  </si>
  <si>
    <t>Vfb_ref</t>
  </si>
  <si>
    <t>RfbH</t>
  </si>
  <si>
    <t>RfbL</t>
  </si>
  <si>
    <t>Rcs</t>
  </si>
  <si>
    <t>Ipk</t>
  </si>
  <si>
    <t>A</t>
  </si>
  <si>
    <t>Io</t>
  </si>
  <si>
    <t>Dòng peak</t>
  </si>
  <si>
    <t>Maximum Forward voltage</t>
  </si>
  <si>
    <t>V.max</t>
  </si>
  <si>
    <t>V.min</t>
  </si>
  <si>
    <t>V.rms</t>
  </si>
  <si>
    <t>%ripple +</t>
  </si>
  <si>
    <t>%Ripple -</t>
  </si>
  <si>
    <t>Ripple đầu ra 5V
- Tụ hóa đầu ra 10V/470uF</t>
  </si>
  <si>
    <t>PIV</t>
  </si>
  <si>
    <t>Fmax</t>
  </si>
  <si>
    <t xml:space="preserve">Tụ hóa đầu vào </t>
  </si>
  <si>
    <t>IC nguồn S7133S</t>
  </si>
  <si>
    <t>Tụ hóa đầu ra</t>
  </si>
  <si>
    <t>Trở Snubber</t>
  </si>
  <si>
    <t>Tụ film vcc</t>
  </si>
  <si>
    <t>Cầu chì</t>
  </si>
  <si>
    <t>Nhiệt độ môi trường</t>
  </si>
  <si>
    <t>300 V</t>
  </si>
  <si>
    <t xml:space="preserve"> Vds.max = 480V;
Ids.max = 296mA</t>
  </si>
  <si>
    <t>Điều kiện thử nghiệm</t>
  </si>
  <si>
    <t>Hoạt động bình thường</t>
  </si>
  <si>
    <t xml:space="preserve"> Vka.rrm.max = 34.4V;
Iak.max = 3.12A</t>
  </si>
  <si>
    <t>Vka.rrm = 31.2V;
 Iak.max = 3.04A</t>
  </si>
  <si>
    <t>Vka.rrm = 47.2V;
 Iak.max = 3.04A</t>
  </si>
  <si>
    <t xml:space="preserve"> Vka.rrm.max = 45.6V;
Iak.max = 3.12A</t>
  </si>
  <si>
    <t xml:space="preserve"> Vka.rrm.max = 52.8V;
Iak.max = 3.28A</t>
  </si>
  <si>
    <t xml:space="preserve"> Vka.rrm.max = 56.8V;
Iak.max = 3.28A</t>
  </si>
  <si>
    <t>Vka.rrm = 52V;
 Iak.max = 3.12A</t>
  </si>
  <si>
    <t>Vka.rrm = 60.6V;
 Iak.max = 3.20A</t>
  </si>
  <si>
    <t xml:space="preserve"> Ids.max = 324mA</t>
  </si>
  <si>
    <t xml:space="preserve"> Ids.max = 312mA</t>
  </si>
  <si>
    <t xml:space="preserve"> Ids.max = 304mA</t>
  </si>
  <si>
    <t xml:space="preserve"> Ids.max = 288mA</t>
  </si>
  <si>
    <t>Vka.rrm = 33.6V;
 Iak.max = 3.52A</t>
  </si>
  <si>
    <t>Vka.rrm = 46.4V;
 Iak.max = 3.36A</t>
  </si>
  <si>
    <t>Vka.rrm = 52V;
 Iak.max = 3.60A</t>
  </si>
  <si>
    <t>Vka.rrm = 59.2V;
 Iak.max = 3.76A</t>
  </si>
  <si>
    <t xml:space="preserve"> Vka.rrm.max = 60V;
Iak.max = 3.52A</t>
  </si>
  <si>
    <t xml:space="preserve"> Vka.rrm.max = 51.2V;
Iak.max = 3.36A</t>
  </si>
  <si>
    <t xml:space="preserve"> Vka.rrm.max = 46.4V;
Iak.max = 3.36A</t>
  </si>
  <si>
    <t xml:space="preserve"> Vka.rrm.max = 32.0V;
Iak.max = 3.28A</t>
  </si>
  <si>
    <t>Vds.rms = 215V; Vds.max = 384V;
F.max = 48.08kHz; Ton = 1.6uS
Ids.rms = 53.0mA; Ids.max = 272mA</t>
  </si>
  <si>
    <t>Vds.rms = 313V; Vds.max = 480V;
F.max = 50.00kHz; Ton = 1.2uS
Ids.rms = 49.5mA; Ids.max = 288mA</t>
  </si>
  <si>
    <t>Vds.rms = 356V; Vds.max = 536V;
F.max = 45.45kHz; Ton =0.8uS
Ids.rms = 46.8mA; Ids.max = 304mA</t>
  </si>
  <si>
    <t>Vds.rms = 423V; Vds.max = 600V;
F.max = 43.1kHz; Ton = 0.8uS
Ids.rms = 39.9mA; Ids.max = 304mA</t>
  </si>
  <si>
    <t xml:space="preserve"> Vds.max = 592V;
Ids.max = 312mA</t>
  </si>
  <si>
    <t xml:space="preserve"> Vds.max = 520V;
Ids.max = 296mA</t>
  </si>
  <si>
    <t xml:space="preserve"> Vds.max = 376V;
Ids.max = 280mA</t>
  </si>
  <si>
    <t>Tụ FilmVCC</t>
  </si>
  <si>
    <t>Tụ Film VCC</t>
  </si>
  <si>
    <t>Vds.rms = 300V; Vds.max = 480V;
F.max = 49.05kHz; ton=1.2uS
Ids.rms = 47.8mA; Ids.max = 288mA</t>
  </si>
  <si>
    <t>Vds.rms = 417V; Vds.max = 592V;
F.max = 45.72kHz; ton=0.8uS
Ids.rms = 38.2mA; Ids.max = 304mA</t>
  </si>
  <si>
    <t>Vds.rms = 350V; Vds.max = 528V;
F.max = 45.91kHz; ton=1.2uS
Ids.rms = 41.5mA; Ids.max = 296mA</t>
  </si>
  <si>
    <t>Vds.rms = 216V; Vds.max = 392V;
F.max = 51.2kHz; ton=1.6uS
Ids.rms = 53.0mA; Ids.max = 272mA</t>
  </si>
  <si>
    <t>V(R.start).max = 296V
V(R.start).min = 276V</t>
  </si>
  <si>
    <t>V(R.start).max = 344V
V(R.start).min = 320V</t>
  </si>
  <si>
    <t>V(R.start).max = 416V
V(R.start).min = 392V</t>
  </si>
  <si>
    <t>V(R.start).max = 200V
V(R.start).min = 168V</t>
  </si>
  <si>
    <t>V</t>
  </si>
  <si>
    <t>uA</t>
  </si>
  <si>
    <t>M.Ohm</t>
  </si>
  <si>
    <t>STT</t>
  </si>
  <si>
    <t>Thông số</t>
  </si>
  <si>
    <t>Diện tích mặt cắt ngang</t>
  </si>
  <si>
    <t>Vùng quấn dây</t>
  </si>
  <si>
    <t>Mật độ từ thẩm bão hòa</t>
  </si>
  <si>
    <t>Ký hiệu</t>
  </si>
  <si>
    <t>𝐴_𝑒</t>
  </si>
  <si>
    <t>A_w</t>
  </si>
  <si>
    <t>B_sat</t>
  </si>
  <si>
    <t>Giá trị</t>
  </si>
  <si>
    <t>Đơn vị</t>
  </si>
  <si>
    <t>Thường chọn 0.3 - 0.35T</t>
  </si>
  <si>
    <t>mm2</t>
  </si>
  <si>
    <t>Ghi chú</t>
  </si>
  <si>
    <t>V (Volt)</t>
  </si>
  <si>
    <t>Điện áp đầu ra cho yêu cầu thiết kế</t>
  </si>
  <si>
    <t>Điện áp thực tế tính theo Datasheet IC S7133S</t>
  </si>
  <si>
    <t>Vout</t>
  </si>
  <si>
    <t>Dđiện áp so sánh FB</t>
  </si>
  <si>
    <t>Vfb_Ref</t>
  </si>
  <si>
    <t>Điện trở FB trên</t>
  </si>
  <si>
    <t>Điện trở FB dưới</t>
  </si>
  <si>
    <t>Rfb_H</t>
  </si>
  <si>
    <t>Rfb_L</t>
  </si>
  <si>
    <t>Số vòng dây sơ cấp</t>
  </si>
  <si>
    <t>Số vòng dây thứ cấp</t>
  </si>
  <si>
    <t>Số vòng dây nguồn phụ</t>
  </si>
  <si>
    <t>Điện áp dẫn của Diode đầu ra</t>
  </si>
  <si>
    <t>Vak</t>
  </si>
  <si>
    <t>Điện áp ngược của Diode đầu ra</t>
  </si>
  <si>
    <t>Vrrm</t>
  </si>
  <si>
    <t>Iout.max</t>
  </si>
  <si>
    <r>
      <t>A (</t>
    </r>
    <r>
      <rPr>
        <b/>
        <i/>
        <sz val="11"/>
        <color rgb="FFFF0000"/>
        <rFont val="Calibri"/>
        <family val="2"/>
        <scheme val="minor"/>
      </rPr>
      <t>A</t>
    </r>
    <r>
      <rPr>
        <sz val="11"/>
        <color theme="1"/>
        <rFont val="Calibri"/>
        <family val="2"/>
        <scheme val="minor"/>
      </rPr>
      <t>mpe)</t>
    </r>
  </si>
  <si>
    <r>
      <t>V (</t>
    </r>
    <r>
      <rPr>
        <b/>
        <i/>
        <sz val="11"/>
        <color rgb="FFFF0000"/>
        <rFont val="Calibri"/>
        <family val="2"/>
        <scheme val="minor"/>
      </rPr>
      <t>V</t>
    </r>
    <r>
      <rPr>
        <sz val="11"/>
        <color theme="1"/>
        <rFont val="Calibri"/>
        <family val="2"/>
        <scheme val="minor"/>
      </rPr>
      <t>olt)</t>
    </r>
  </si>
  <si>
    <r>
      <t>T (</t>
    </r>
    <r>
      <rPr>
        <b/>
        <i/>
        <sz val="11"/>
        <color rgb="FFFF0000"/>
        <rFont val="Calibri"/>
        <family val="2"/>
        <scheme val="minor"/>
      </rPr>
      <t>T</t>
    </r>
    <r>
      <rPr>
        <sz val="11"/>
        <color theme="1"/>
        <rFont val="Calibri"/>
        <family val="2"/>
        <scheme val="minor"/>
      </rPr>
      <t>esla)</t>
    </r>
  </si>
  <si>
    <t>Pout.max</t>
  </si>
  <si>
    <r>
      <t>W (</t>
    </r>
    <r>
      <rPr>
        <b/>
        <i/>
        <sz val="11"/>
        <color rgb="FFFF0000"/>
        <rFont val="Calibri"/>
        <family val="2"/>
        <scheme val="minor"/>
      </rPr>
      <t>W</t>
    </r>
    <r>
      <rPr>
        <sz val="11"/>
        <color theme="1"/>
        <rFont val="Calibri"/>
        <family val="2"/>
        <scheme val="minor"/>
      </rPr>
      <t>att)</t>
    </r>
  </si>
  <si>
    <t>Công suất đầu ra lớn nhất (mong muốn)</t>
  </si>
  <si>
    <t>Dòng điện đầu ra lớn nhất 
(mong muốn)</t>
  </si>
  <si>
    <t>Điện áp đầu ra (mong muốn)</t>
  </si>
  <si>
    <t>Pout.max = Vo * Iout.max</t>
  </si>
  <si>
    <t>Hiệu suất chuyển đổi</t>
  </si>
  <si>
    <t>E_ff</t>
  </si>
  <si>
    <t>%</t>
  </si>
  <si>
    <t>Công suất đầu vào lớn nhất</t>
  </si>
  <si>
    <t>Pin.max</t>
  </si>
  <si>
    <t>Pin.max = Pout.max*100/E_ff</t>
  </si>
  <si>
    <t>VDC.min</t>
  </si>
  <si>
    <t>Vac.max</t>
  </si>
  <si>
    <t>Điện áp AC đầu vào max</t>
  </si>
  <si>
    <t>Điện áp AC đầu vào định mức</t>
  </si>
  <si>
    <t>Điện áp AC đầu vào min</t>
  </si>
  <si>
    <t>Vac</t>
  </si>
  <si>
    <t>Vac.min</t>
  </si>
  <si>
    <t>Vac.rated</t>
  </si>
  <si>
    <r>
      <t>VAC (</t>
    </r>
    <r>
      <rPr>
        <b/>
        <i/>
        <sz val="11"/>
        <color rgb="FFFF0000"/>
        <rFont val="Calibri"/>
        <family val="2"/>
        <scheme val="minor"/>
      </rPr>
      <t>V</t>
    </r>
    <r>
      <rPr>
        <sz val="11"/>
        <color theme="1"/>
        <rFont val="Calibri"/>
        <family val="2"/>
        <scheme val="minor"/>
      </rPr>
      <t>olt)</t>
    </r>
  </si>
  <si>
    <t>Điện áp DC đầu vào nhỏ nhất
(Minimum input DC link voltage)</t>
  </si>
  <si>
    <t>Tần số làm việc</t>
  </si>
  <si>
    <t>Hz</t>
  </si>
  <si>
    <t>Hệ số gợn sóng</t>
  </si>
  <si>
    <t>K_rf</t>
  </si>
  <si>
    <t>F_s</t>
  </si>
  <si>
    <t>--</t>
  </si>
  <si>
    <t xml:space="preserve"> Nếu mạch hoạt động ở chế độ DCM, chọn hệ số = 1
Nếu mạch hoạt động ở chế độ CCM, chọn hệ số &lt; 1 theo 2 tiêu chí sau:
+ 0.3 ÷ 0.5 cho dải đầu vào (85÷265)V (phổ thông)
+ 0.4 ÷ 0.8 cho dải đầu vào (195÷265)V (Châu Âu)</t>
  </si>
  <si>
    <t>Điện dung cuộn dây sơ cấp</t>
  </si>
  <si>
    <t>Lm</t>
  </si>
  <si>
    <t>Chu trình làm việc lớn nhất</t>
  </si>
  <si>
    <t>D_max</t>
  </si>
  <si>
    <t>giá trị</t>
  </si>
  <si>
    <t>đơn vị</t>
  </si>
  <si>
    <t>V_ac.min</t>
  </si>
  <si>
    <t>V_ac.max</t>
  </si>
  <si>
    <t>V_dc.min.pk</t>
  </si>
  <si>
    <t>V_dc.max.pk</t>
  </si>
  <si>
    <t>VDC</t>
  </si>
  <si>
    <t xml:space="preserve"> V_dc.min.pk = V_ac.min * Sqrt(2)</t>
  </si>
  <si>
    <t xml:space="preserve"> V_dc.max.pk = V_ac.max * Sqrt(2)</t>
  </si>
  <si>
    <t>Điện áp đỉnh DC đầu vào min</t>
  </si>
  <si>
    <t>Điện áp đỉnh DC đầu vào max</t>
  </si>
  <si>
    <t>Điện áp DC đầu vào min</t>
  </si>
  <si>
    <t>Điện áp DC đầu vào max</t>
  </si>
  <si>
    <t>V_dc.min</t>
  </si>
  <si>
    <t>V_dc.max</t>
  </si>
  <si>
    <t>Điện áp rơi trên cầu Diode</t>
  </si>
  <si>
    <t>V_d</t>
  </si>
  <si>
    <t>Ripple điện áp DC</t>
  </si>
  <si>
    <t>Ripple</t>
  </si>
  <si>
    <t>V_dc.min = V_dc.min.pk - (V_dc.min.pk*Ripple)/(2*100) - 2*V_d</t>
  </si>
  <si>
    <t>V_dc.max = V_dc.max.pk - (V_dc.max.pk*Ripple)/(2*100) - 2*V_d</t>
  </si>
  <si>
    <t>Điện áp đầu ra max</t>
  </si>
  <si>
    <t>Hiệu suất chuyển đổi max</t>
  </si>
  <si>
    <t>Công suất đầu vào max</t>
  </si>
  <si>
    <t>V_out.max</t>
  </si>
  <si>
    <t>I_out.max</t>
  </si>
  <si>
    <t>P_out.max</t>
  </si>
  <si>
    <t>W</t>
  </si>
  <si>
    <t>n</t>
  </si>
  <si>
    <t>P_in.max</t>
  </si>
  <si>
    <t>P_in.max = P_out.max*100/n</t>
  </si>
  <si>
    <t>P_out.max = V_out.max*I_out.max</t>
  </si>
  <si>
    <t>Năng lượng đầu vào tương ứng với công suất đầu vào lớn nhất</t>
  </si>
  <si>
    <t>Tần số hoạt động min</t>
  </si>
  <si>
    <t>Tần số hoạt động max</t>
  </si>
  <si>
    <t>F_min</t>
  </si>
  <si>
    <t>F_max</t>
  </si>
  <si>
    <t>E_in.max</t>
  </si>
  <si>
    <t>E_in.max = P_in.max/(2*F_min)</t>
  </si>
  <si>
    <t>Cmax</t>
  </si>
  <si>
    <t>uF</t>
  </si>
  <si>
    <t>Giá trị tụ đầu vào max</t>
  </si>
  <si>
    <t>Giá trị tụ đầu vào min</t>
  </si>
  <si>
    <t>Cmin</t>
  </si>
  <si>
    <t>Cmax = 10^6*((2*E_in.max)/(V_dc.min.pk^2-V_dc.min^2))</t>
  </si>
  <si>
    <t>Cmin = 10^6*((2*E_in.max)/(V_dc.max.pk^2-V_dc.max^2))</t>
  </si>
  <si>
    <t>-&gt;</t>
  </si>
  <si>
    <t>Lựa chọn giá trị phù hợp của tụ nằm trong dải.
Lưu ý: tụ có giá trị càng lớn, kích thước tụ càng lớn, và Ripple của điện áp càng được giảm thiểu</t>
  </si>
  <si>
    <t>C_DC.in</t>
  </si>
  <si>
    <t>mH (Henry)</t>
  </si>
  <si>
    <t>mH</t>
  </si>
  <si>
    <t>Công suất đầu ra max (an toàn)</t>
  </si>
  <si>
    <t>Dòng điện đầu ra lớn nhất (an toàn)</t>
  </si>
  <si>
    <t xml:space="preserve">Dòng điện đầu ra tối đa I_out.peak= I_out.max / 80% </t>
  </si>
  <si>
    <t>công suất peak trên trở</t>
  </si>
  <si>
    <t>dòng liên tục thứ cấp</t>
  </si>
  <si>
    <t xml:space="preserve">Dòng điện đầu ra tối đa </t>
  </si>
  <si>
    <t xml:space="preserve">I_out.peak= I_out.max / 80% </t>
  </si>
  <si>
    <t>I_out.peak</t>
  </si>
  <si>
    <t>mm</t>
  </si>
  <si>
    <t>vòng</t>
  </si>
  <si>
    <t>Ns</t>
  </si>
  <si>
    <t>Cuộn thứ cấp</t>
  </si>
  <si>
    <t>Iout</t>
  </si>
  <si>
    <t>Vaux</t>
  </si>
  <si>
    <t xml:space="preserve">Điện áp phản hồi cuộn phụ V.aux (@300VAC,50Hz) = 11.2V
--&gt; 5.1V &lt; Vaux &lt; 18V </t>
  </si>
  <si>
    <t>Fsw</t>
  </si>
  <si>
    <t>KHz</t>
  </si>
  <si>
    <t xml:space="preserve">Tần số hoạt động f.max (@300VAC,50Hz) = 47kHz &lt; 80kHz </t>
  </si>
  <si>
    <t>Bm</t>
  </si>
  <si>
    <t>mT</t>
  </si>
  <si>
    <t>Vce</t>
  </si>
  <si>
    <t>Điện áp Vds.max (@300VAC,50Hz) = 627.3V &lt; 700V (Datasheet)</t>
  </si>
  <si>
    <t>Vpn_S</t>
  </si>
  <si>
    <t>Vpn_A</t>
  </si>
  <si>
    <t>Đầu vào thiết kế</t>
  </si>
  <si>
    <t>Giá trị tính toán</t>
  </si>
  <si>
    <t>Kết quả cuối cùng</t>
  </si>
  <si>
    <t>Vac_min</t>
  </si>
  <si>
    <t>Vac_max</t>
  </si>
  <si>
    <t>FL</t>
  </si>
  <si>
    <t>η</t>
  </si>
  <si>
    <t>％</t>
  </si>
  <si>
    <t>Ae</t>
  </si>
  <si>
    <t>Vcable</t>
  </si>
  <si>
    <t>mV</t>
  </si>
  <si>
    <t>Cin</t>
  </si>
  <si>
    <t>Vdc_min</t>
  </si>
  <si>
    <t>Nps_max</t>
  </si>
  <si>
    <t>Ω</t>
  </si>
  <si>
    <t>Np_min</t>
  </si>
  <si>
    <t>T</t>
  </si>
  <si>
    <t>Na</t>
  </si>
  <si>
    <t>Ru</t>
  </si>
  <si>
    <t>Rd</t>
  </si>
  <si>
    <t>Iout * Ns / Np</t>
  </si>
  <si>
    <t>Dòng điện đầu ra lớn nhất có thể cấp cho tải (@300VAC,50Hz) = 0.775A mà điện áp không đổi</t>
  </si>
  <si>
    <t>Cuộn sơ cấp</t>
  </si>
  <si>
    <t>Cuộn phụ</t>
  </si>
  <si>
    <t>Điện cảm cuộn sơ cấp</t>
  </si>
  <si>
    <t xml:space="preserve">Lp = </t>
  </si>
  <si>
    <t xml:space="preserve">Np = </t>
  </si>
  <si>
    <t xml:space="preserve">Ns = </t>
  </si>
  <si>
    <t xml:space="preserve">Naux = </t>
  </si>
  <si>
    <t>Điện cảm rò = 10% Lp</t>
  </si>
  <si>
    <t xml:space="preserve">L.lk = </t>
  </si>
  <si>
    <t xml:space="preserve">Lõi từ </t>
  </si>
  <si>
    <t>PC40</t>
  </si>
  <si>
    <t>Bobin</t>
  </si>
  <si>
    <t>Cuộn biến áp được lựa chọn theo các thông số sau đây 
(tham khảo)</t>
  </si>
  <si>
    <t>Dây quấn sơ cấp</t>
  </si>
  <si>
    <t>Dây quấn thứ cấp</t>
  </si>
  <si>
    <t>Dây quấn cuộn phụ</t>
  </si>
  <si>
    <t>1 x 0.15mm</t>
  </si>
  <si>
    <t>1 x 0.32mm, 3 lớp cách điện</t>
  </si>
  <si>
    <t>Kích thước đóng gói</t>
  </si>
  <si>
    <t>SMB</t>
  </si>
  <si>
    <t xml:space="preserve">Vrrm = </t>
  </si>
  <si>
    <t xml:space="preserve">Vrms = </t>
  </si>
  <si>
    <t>V.f</t>
  </si>
  <si>
    <t>I.fsm</t>
  </si>
  <si>
    <t>T.f(av)</t>
  </si>
  <si>
    <t xml:space="preserve">Dòng điện đỉnh </t>
  </si>
  <si>
    <t>Lựa chọn Biến áp</t>
  </si>
  <si>
    <t>Điện áp dẫn tối đa tại dòng điện đầu ra tối đa (I.fm = 3A)</t>
  </si>
  <si>
    <t>Dòng điện chỉnh lưu thuận trung bình - tối đa tại 90°C</t>
  </si>
  <si>
    <t>Điện áp hiệu dụng tối đa</t>
  </si>
  <si>
    <t>Điện áp ngược tối đa (peak)</t>
  </si>
  <si>
    <t>Lựa chọn Diode chỉnh lưu đầu ra</t>
  </si>
  <si>
    <t>Lựa chọn Diode chỉnh lưu nguồn phụ</t>
  </si>
  <si>
    <t>SMA</t>
  </si>
  <si>
    <t>SS3100 
(DO-214AB)</t>
  </si>
  <si>
    <t>Diode chỉnh lưu sơ cấp SS3100 - Linh kiện đang có sẵn tại kho cty</t>
  </si>
  <si>
    <t>Diode chỉnh lưu sơ cấp ES1J  - Linh kiện đang có sẵn tại kho cty</t>
  </si>
  <si>
    <t>Lựa chọn tụ hóa đầu vào</t>
  </si>
  <si>
    <t>F</t>
  </si>
  <si>
    <t>Tần số hoạt động</t>
  </si>
  <si>
    <t>Các giá trị tụ có thể chọn</t>
  </si>
  <si>
    <t xml:space="preserve">Tụ hóa đầu vào được lựa chọn trong dải giá trị min - max, phụ thuộc vào khoảng không trên PCB </t>
  </si>
  <si>
    <t>Llk</t>
  </si>
  <si>
    <t>Rsn</t>
  </si>
  <si>
    <t>Psn</t>
  </si>
  <si>
    <t>nguyên lý đầu vào</t>
  </si>
  <si>
    <t>LISN</t>
  </si>
  <si>
    <t>CDN</t>
  </si>
  <si>
    <t>Vds.max</t>
  </si>
  <si>
    <t>Điện áp xung từ điện cảm ký sinh trên biến áp</t>
  </si>
  <si>
    <t>Vos</t>
  </si>
  <si>
    <t>Điện áp cảm ứng từ phía thứ cấp về sơ cấp khi Mosfet khóa</t>
  </si>
  <si>
    <t>Điện áp tụ điện Snubber ở đk đủ tải</t>
  </si>
  <si>
    <t>Vsn</t>
  </si>
  <si>
    <t>Độ gợn sóng snubber</t>
  </si>
  <si>
    <t>% Vsn</t>
  </si>
  <si>
    <t>Tổn thất trên mạch snubber</t>
  </si>
  <si>
    <t>uH</t>
  </si>
  <si>
    <t>Điện trở Snubber</t>
  </si>
  <si>
    <t>Tụ điện Snubber</t>
  </si>
  <si>
    <t>Csn</t>
  </si>
  <si>
    <t>pF</t>
  </si>
  <si>
    <t>K Ohm</t>
  </si>
  <si>
    <t>Chọn giá trị trở Rsn</t>
  </si>
  <si>
    <t>Rsn(1)</t>
  </si>
  <si>
    <t>K.Ohm</t>
  </si>
  <si>
    <t>Tụ điện snubber tương ứng</t>
  </si>
  <si>
    <t>Công suất Snubber tương ứng</t>
  </si>
  <si>
    <t>Vro</t>
  </si>
  <si>
    <t>Bộ linh kiện chống nhiễu EMC và xung sét 0.7kV</t>
  </si>
  <si>
    <t>Lựa chọn giá trị bộ trở Snubber</t>
  </si>
  <si>
    <t xml:space="preserve">
</t>
  </si>
  <si>
    <t>Tụ film AC: 0.1uF/305V/MKP/HJC</t>
  </si>
  <si>
    <t>Linh kiện</t>
  </si>
  <si>
    <t>Tác dụng</t>
  </si>
  <si>
    <t>Chặn nhiễu từ đầu nguồn AC khi đóng cắt tải cuộn cảm, quạt hút, khởi động từ.</t>
  </si>
  <si>
    <t>Tụ Film DC: 104K/400VDC/CBB21</t>
  </si>
  <si>
    <t>Giảm mức nền nhiễu bức xạ</t>
  </si>
  <si>
    <t>Cuộn lọc I-0608-DIP-L=3.0mH</t>
  </si>
  <si>
    <t xml:space="preserve">Giảm nhiễu dẫn tại hai đầu day AC trong khoảng đo 0.1 - 1MHz </t>
  </si>
  <si>
    <t>Tụ hóa 2.2uF/400V/6.3*8mm/P=2.5mm</t>
  </si>
  <si>
    <r>
      <t>Đảm bảo hoạt động ổn định sau khi chịu xung sét 0.7kV tại các góc phát xung 90</t>
    </r>
    <r>
      <rPr>
        <sz val="11"/>
        <color theme="1"/>
        <rFont val="Calibri"/>
        <family val="2"/>
      </rPr>
      <t>° và 270°, 5 chu kỳ</t>
    </r>
  </si>
  <si>
    <t>Vị trí và thứ tự các linh kiện</t>
  </si>
  <si>
    <t>Cầu chì 68R/1W/DIP</t>
  </si>
  <si>
    <t>Phải đảm bảo đạt xung sét 0.7kV</t>
  </si>
  <si>
    <t>Lựa chọn tụ trở Snubber</t>
  </si>
  <si>
    <t>Giá trị tụ điện Snubber</t>
  </si>
  <si>
    <t>%Vsn</t>
  </si>
  <si>
    <t>Điện áp trên cụm Snubber
(Vsn = Vro+Vos)</t>
  </si>
  <si>
    <t>Điện áp xung từ điện cảm ký sinh
( Vos = 0.4xVds.max)</t>
  </si>
  <si>
    <t>Giá trị trở Snubber (lựa chọn)</t>
  </si>
  <si>
    <t>K.ohm</t>
  </si>
  <si>
    <t>Độ gợn điện áp Snubber (lựa chọn)</t>
  </si>
  <si>
    <t>Tổn thất trên mạch Snubber</t>
  </si>
  <si>
    <t>Điện áp Max trên DS (Datasheet)</t>
  </si>
  <si>
    <t>nF</t>
  </si>
  <si>
    <t>Lựa chọn trở khởi động</t>
  </si>
  <si>
    <t>- Điện áp lớn nhất trên trở khởi động tại 250VAC/50Hz là 344V
- Điện áp hoạt động tối đa trên trở 1206 là 200V
- Lựa chọn 2 trở 1206 --&gt; điện áp hoạt động 400V</t>
  </si>
  <si>
    <t>Lựa chọn linh kiện</t>
  </si>
  <si>
    <t>Lựa chọn độ gợn snubber</t>
  </si>
  <si>
    <t>Giá trị lựa chọn</t>
  </si>
  <si>
    <t>Điện áp đầu vào</t>
  </si>
  <si>
    <t>Điện áp DC in</t>
  </si>
  <si>
    <t>Dòng khởi động IC theo datasheet</t>
  </si>
  <si>
    <t>VAC</t>
  </si>
  <si>
    <t>Trở khởi động</t>
  </si>
  <si>
    <t>Lựa chọn điện trở</t>
  </si>
  <si>
    <t>Điện áp lớn nhất trên trở tại 300V (407V)</t>
  </si>
  <si>
    <t>Điện trở lựa chọn 4 M.ohm</t>
  </si>
  <si>
    <t>Lựa chọn kích thước 2 điện trở  0805 (600V).</t>
  </si>
  <si>
    <t>Điện áp khởi động  của IC : V.st = Vcc_on - 1</t>
  </si>
  <si>
    <t>Vst = 16 - 1 VAC</t>
  </si>
  <si>
    <t>Công suất rơi trên điện trở tại 300VAC: 0.041W</t>
  </si>
  <si>
    <t>Tính toán điện trở khởi động cho IC S7133X</t>
  </si>
  <si>
    <t>300 VAC/50Hz</t>
  </si>
  <si>
    <t>250VAC/50Hz</t>
  </si>
  <si>
    <t>220VAC/50Hz</t>
  </si>
  <si>
    <t>150VAC/50Hz</t>
  </si>
  <si>
    <t>Đo đạc điện áp thực tế trên điện trở khởi động</t>
  </si>
  <si>
    <r>
      <t>J (</t>
    </r>
    <r>
      <rPr>
        <b/>
        <i/>
        <sz val="11"/>
        <color rgb="FFFF0000"/>
        <rFont val="Times New Roman"/>
        <family val="1"/>
      </rPr>
      <t>J</t>
    </r>
    <r>
      <rPr>
        <sz val="11"/>
        <color theme="1"/>
        <rFont val="Times New Roman"/>
        <family val="1"/>
      </rPr>
      <t>oule)</t>
    </r>
  </si>
  <si>
    <t>Lựa chọn độ gợn sóng mong muốn, độ gợn càng thấp, giá trị tụ điện càng cao</t>
  </si>
  <si>
    <t>Lựa chọn tụ hóa đầu vào dựa vào hai yếu tố:
+ Khoảng không bố trí linh kiện trên PCB
+ Tiêu chuẩn xung sét 0.5kV</t>
  </si>
  <si>
    <t>Dạng sóng làm việc</t>
  </si>
  <si>
    <t>EMC</t>
  </si>
  <si>
    <t>Xung sét</t>
  </si>
  <si>
    <t>Bão hòa cuộn chặn</t>
  </si>
  <si>
    <t>Thử độ nhạy cảm ứng</t>
  </si>
  <si>
    <t>Công suất thu phát Antent</t>
  </si>
  <si>
    <t>Độ ổn định của nút cảm ứng đối với các loại tải</t>
  </si>
  <si>
    <t>Lắp đặt thực tế</t>
  </si>
  <si>
    <t>Đánh giá</t>
  </si>
  <si>
    <t>Nội dung</t>
  </si>
  <si>
    <t>Pad cảm ứng</t>
  </si>
  <si>
    <t>Tụ calib độ nhạy (SGL8022k)</t>
  </si>
  <si>
    <t>Đạt/ Không đạt</t>
  </si>
  <si>
    <t>Tắt bật nhanh tại điện áp 300VAC</t>
  </si>
  <si>
    <t>Chập chờn tại điện áp 300VAC</t>
  </si>
  <si>
    <t>Tiêu chí thử nghiệm</t>
  </si>
  <si>
    <t xml:space="preserve">Yêu cầu </t>
  </si>
  <si>
    <t>Nhiệt độ linh kiện</t>
  </si>
  <si>
    <t>Các tiêu chí lưu ý đánh giá khi thử nghiệm mẫu CTCU</t>
  </si>
  <si>
    <r>
      <t xml:space="preserve">- Kiểm tra </t>
    </r>
    <r>
      <rPr>
        <i/>
        <u/>
        <sz val="11"/>
        <color rgb="FFFF0000"/>
        <rFont val="Times New Roman"/>
        <family val="1"/>
      </rPr>
      <t>dạng sóng làm việc</t>
    </r>
    <r>
      <rPr>
        <sz val="11"/>
        <color theme="1"/>
        <rFont val="Times New Roman"/>
        <family val="1"/>
      </rPr>
      <t xml:space="preserve"> tại các điểm: Mosfet, Diode đầu ra, tụ điện đầu ra Driver, Tụ điện đầu vào mạch Touch.
- Điện áp: 150-220-265 VAC/50Hz
- Nhiệt độ: 25°C (± 2°C),  80°C (± 2°C)</t>
    </r>
  </si>
  <si>
    <r>
      <t xml:space="preserve">Điều kiện thử nghiệm
</t>
    </r>
    <r>
      <rPr>
        <i/>
        <sz val="11"/>
        <color theme="1"/>
        <rFont val="Times New Roman"/>
        <family val="1"/>
      </rPr>
      <t>( Lắp mẫu thực tế: Bán thành phẩm (Driver +  Touch) và bộ vỏ sản phẩm.)</t>
    </r>
  </si>
  <si>
    <r>
      <t xml:space="preserve">- Kiểm tra </t>
    </r>
    <r>
      <rPr>
        <b/>
        <i/>
        <u/>
        <sz val="11"/>
        <color rgb="FFFF0000"/>
        <rFont val="Times New Roman"/>
        <family val="1"/>
      </rPr>
      <t xml:space="preserve">nhiệt độ hoạt độngcủa </t>
    </r>
    <r>
      <rPr>
        <sz val="11"/>
        <rFont val="Times New Roman"/>
        <family val="1"/>
      </rPr>
      <t xml:space="preserve">của linh kiện </t>
    </r>
    <r>
      <rPr>
        <sz val="11"/>
        <color theme="1"/>
        <rFont val="Times New Roman"/>
        <family val="1"/>
      </rPr>
      <t xml:space="preserve">
- Điện áp: 150-220-265 VAC/50Hz
- Nhiệt độ: 25°C (± 2°C),  50°C (± 2°C)</t>
    </r>
  </si>
  <si>
    <t>- Điện áp: 150 - 220 - 265VAC/50Hz
- Nhiệt độ: 50°C (± 2°C)</t>
  </si>
  <si>
    <t>- Điện áp: 150 - 220 - 265VAC/50Hz
- Nhiệt độ: 0°C (± 2°C)</t>
  </si>
  <si>
    <t>- Kiểm tra độ nhạy của nút cảm ứng:
+  Đặt một tấm vật liệu lên mặt kính cảm ứng.
+ Sử dụng ngón tay (không đeo găng tay) nhấn vào vị trí nút cảm ứng.
+ Thao tác nhấn dứt khoát, 1 giây / lần.
+ Khi nhấn, nút cảm ứng không bị đơ, treo, chậm.
+ Kính 2mm &lt; độ nhạy &lt; Mica 2mm</t>
  </si>
  <si>
    <t>- Dạng sóng, nhiệt độ làm việc tại các điểm đo nằm trong phạm vi cho phép của Datasheet linh kiện.
- Đối chiếu kết quả kiểm tra với các giá trị tính toán.
- Phương án, tính toán lại linh kiện, khi không đạt yêu cầu. Kết quả thử nghiệm sau khi thay đổi linh kiện.</t>
  </si>
  <si>
    <t>Kiểm tra dạng sóng trên cuộn sơ cấp của biến áp, không bị bão hòa</t>
  </si>
  <si>
    <t>Hoạt động tại nhiệt độ cao</t>
  </si>
  <si>
    <t>Hoạt động tại nhiệt độ thấp</t>
  </si>
  <si>
    <t>- Điện áp: 330VAC/50Hz
- Nhiệt độ: 25°C (± 2°C)
- Thời gian: 60 phút</t>
  </si>
  <si>
    <t>- Đo công suất thu , công suất phát sóng RF của Module BLE (Module không lắp vỏ) làm mẫu.
- Đo công suất thu, công suất phát sóng RF của Công tắc và so sánh với kết quả của Module BLE
- Điều khiển công tắc trong các trường hợp:
+ Xuyên tầng
+ Xuyên tường
+ Không vật cản</t>
  </si>
  <si>
    <t>- Công suất thu phát của công tắc đạt 80 - 90% công suất thu phát của Module BLE
- Điều khiển xuyên 1 tầng (vật liệu gạch, bê tông)
- Điều khiển xuyên 1 tường (vật liệu gạch, bê tông)
- Điều khiển được ở khoảng cách 30-50m khi không có vật cản.</t>
  </si>
  <si>
    <t>- Các nút cảm ứng không tự bật/tắt
- Các nút cảm ứng không bị treo / đơ
- Led hiển thị sáng đúng màu được cài đặt</t>
  </si>
  <si>
    <r>
      <t xml:space="preserve">- Điện áp: 220VAC/50Hz
- Nhiệt độ: 25°C (± 2°C)
- Nhiễu dẫn tại hai đầu dây AC: </t>
    </r>
    <r>
      <rPr>
        <i/>
        <u/>
        <sz val="11"/>
        <color rgb="FFFF0000"/>
        <rFont val="Times New Roman"/>
        <family val="1"/>
      </rPr>
      <t>LISN</t>
    </r>
    <r>
      <rPr>
        <sz val="11"/>
        <color theme="1"/>
        <rFont val="Times New Roman"/>
        <family val="1"/>
      </rPr>
      <t xml:space="preserve">
- Nhiễu bức xạ của sản phẩm: </t>
    </r>
    <r>
      <rPr>
        <i/>
        <u/>
        <sz val="11"/>
        <color rgb="FFFF0000"/>
        <rFont val="Times New Roman"/>
        <family val="1"/>
      </rPr>
      <t>CDN</t>
    </r>
  </si>
  <si>
    <t>Tính năng sản phẩm</t>
  </si>
  <si>
    <r>
      <t xml:space="preserve">- Điện áp: 220VAC/50Hz
- Nhiệt độ: 25°C (± 2°C)
- </t>
    </r>
    <r>
      <rPr>
        <i/>
        <u/>
        <sz val="11"/>
        <color rgb="FFFF0000"/>
        <rFont val="Times New Roman"/>
        <family val="1"/>
      </rPr>
      <t>Xung sét 0.5kV, góc 90°, 270°, 5 chu kỳ.</t>
    </r>
  </si>
  <si>
    <t>Môi trường có máy cơ khí, nguồn điện không ổn định.</t>
  </si>
  <si>
    <t>Trong môi trường bình thường.</t>
  </si>
  <si>
    <t>Đánh giá theo các tiêu chí trong OQC - CTCU.</t>
  </si>
  <si>
    <r>
      <t xml:space="preserve">Đối với Công tắc 1 nút công suất cao, kiểm tra với các loại tải tại hai mức tần số 50Hz và 60Hz.
</t>
    </r>
    <r>
      <rPr>
        <i/>
        <u/>
        <sz val="11"/>
        <color rgb="FFFF0000"/>
        <rFont val="Times New Roman"/>
        <family val="1"/>
      </rPr>
      <t>(Có tụ 222M tại hai tiếp điểm Relay, khi đóng cắt tiếp điểm tại mức tần số 60Hz, có nhiễu bức xạ từ tụ và tiếp điểm tác động lên mạch Touch gây treo MCU Telink).</t>
    </r>
  </si>
  <si>
    <t>Đèn FP thấp, Đèn PF cao, Đèn sợi đốt.</t>
  </si>
  <si>
    <t>Động cơ RÈM, Động cơ cửa cuốn.</t>
  </si>
  <si>
    <t>Bếp từ, bếp hồng ngoại, Phích đun nước siêu tốc.</t>
  </si>
  <si>
    <t>Chuông điện, Khởi động từ, Quạt điện, Quạt hút.</t>
  </si>
  <si>
    <r>
      <t xml:space="preserve">- Nhiễu dẫn tại hai đầu dây AC: LISN nằm dưới đường tiêu chuẩn -4dB </t>
    </r>
    <r>
      <rPr>
        <sz val="11"/>
        <color theme="1"/>
        <rFont val="Calibri"/>
        <family val="2"/>
      </rPr>
      <t>÷</t>
    </r>
    <r>
      <rPr>
        <i/>
        <sz val="11"/>
        <color theme="1"/>
        <rFont val="Times New Roman"/>
        <family val="1"/>
      </rPr>
      <t>- 5dB
- Nhiễu bức xạ của sản phẩm: CDN nằm dưới đường tiêu chuẩn</t>
    </r>
  </si>
  <si>
    <t>Yêu cầu</t>
  </si>
  <si>
    <t>Lưu ý</t>
  </si>
  <si>
    <t>Layout mạch cảm ứng</t>
  </si>
  <si>
    <t>IC telink</t>
  </si>
  <si>
    <t>Nguồn nuôi (Vcc) cho IC Telink bị nhiễu bức xạ với mỗi lần đóng cắt Relay (có tải)</t>
  </si>
  <si>
    <t>IC cảm ứng</t>
  </si>
  <si>
    <t>Lưu ý thiết kế mạch cảm ứng cho lô kế tiếp</t>
  </si>
  <si>
    <t>Tụ điện Vcc cần nằm gần nhất với các chân nguồn của IC Telink</t>
  </si>
  <si>
    <t>Antent Của IC telink bị nhiễu bức xạ khi nằm gần khu vực Switching, tiếp điểm Relay, các đường dây AC</t>
  </si>
  <si>
    <t>Module WIFI</t>
  </si>
  <si>
    <t>Module WIFI nhận nhiều nhiễu bức xạ khi nằm gần khu vực Switching, tiếp điểm relay, các đường dây AC</t>
  </si>
  <si>
    <t>Cụm IC telink nhận nhiều nhiễu bức xạ khi nằm gần khu vực: Tụ cách ly dập hồ quang, Switching, tiếp điểm relay, các đường dây AC</t>
  </si>
  <si>
    <t>Antent và IC Telink cần phải nằm ở vị trí tránh xa khu vực gây nhiễu theo mức độ nghiêm trọng sau:
1. Tụ cách ly dập hồ quang
2. Khu vực Switching.
3. Khu vực tiếp điểm Relay.
4. Khu vực AC.</t>
  </si>
  <si>
    <t>Các đường cảm ứng chịu ảnh hưởng nhiễu từ các đường xung PWM, các đường tín hiệu.</t>
  </si>
  <si>
    <t>Khi layout cần chú ý đường tín hiệu đầu vào cảm ứng tránh các đường tin hiệu, đường xung PWM, đường VCC. Tránh xa các vị trí nguồn Switching.</t>
  </si>
  <si>
    <t>Khả năng chống nhiễu của Module WIFI được nâng cao nhờ Shield kim loại đính kèm Module. Có thể layout gần các ví trí tiếp điểm Relay hoặc vị trí AC. 
Lưu ý: antent của Module WIFI cần tránh xa khu vực nguồn Switching, tụ cách ly dập hồ quang.</t>
  </si>
  <si>
    <t>Tụ calib độ nhạy cần đặt sát với chân của IC</t>
  </si>
  <si>
    <t>Pad cảm ứng có diện tích khác nhau --&gt; độ nhạy khác nhau</t>
  </si>
  <si>
    <t>Lựa chọn tụ Calib độ nhạy phụ thuộc vào mức độ nhiễu từ Driver lên mạch Touch + Khoảng cách từ GND tới Pad cảm ứng + Diện tích GND phía dưới Pad cảm ứng.
Chú ý Lot IC FA29-7000 có độ nhạy cơ bản lớn hơn các lot IC khác. Chọn mức tụ max = 68nF</t>
  </si>
  <si>
    <t>Khoảng cách từ Pad cảm ứng tới GND xung quanh Pad cảm ứng --&gt; Độ nhạy khác nhau.
Khoảng cách càng gần, độ nhạy càng giảm</t>
  </si>
  <si>
    <t>Số lượng Via GND xung quanh Pad cảm ứng càng nhiều --&gt; Độ nhạy giảm.</t>
  </si>
  <si>
    <t>Độ dài đường dây từ Pad cảm ứng tới chân IC --&gt; Càng nhiều nhiễu lên đường cảm ứng</t>
  </si>
  <si>
    <t>Pad cảm ứng gần những vị trí AC, Switching sẽ bị nhiễu nhiều hơn khu vực tiếp điểm Relay</t>
  </si>
  <si>
    <t>Pad cảm ứng, dây nối từ Pad tới chân IC và IC cảm ứng nằm cùng 1 lớp --&gt; độ nhạy tăng cao</t>
  </si>
  <si>
    <t>Phía dưới Pad cảm ứng có các đường tín hiệu, PWM, đường dây nguồn, đường phát nhiễu --&gt; ảnh hưởng tới độ nhạy của nút cảm ứng, độ nhạy không ổn định.</t>
  </si>
  <si>
    <t>Khối đầu vào</t>
  </si>
  <si>
    <t>Khối nguồn Flyback</t>
  </si>
  <si>
    <t>Khối Relay</t>
  </si>
  <si>
    <t>Lõi từ</t>
  </si>
  <si>
    <t>giá trị tụ điện</t>
  </si>
  <si>
    <t>dòng điện sạc</t>
  </si>
  <si>
    <t>Điện trở hạ áp tương ứng</t>
  </si>
  <si>
    <t>dV/dt</t>
  </si>
  <si>
    <t>C  (uF)</t>
  </si>
  <si>
    <t xml:space="preserve">Điện áp trên tụ </t>
  </si>
  <si>
    <t>thời gian nạp đầy tụ</t>
  </si>
  <si>
    <t>Biến thiên điện áp</t>
  </si>
  <si>
    <t>dòng điện khởi động</t>
  </si>
  <si>
    <t>dòng điện tổng</t>
  </si>
  <si>
    <t>us</t>
  </si>
  <si>
    <t>EE13</t>
  </si>
  <si>
    <t>5 + 5</t>
  </si>
  <si>
    <t>Điện áp đầu vào thấp nhất</t>
  </si>
  <si>
    <t>Điện áp đầu vào cao nhất</t>
  </si>
  <si>
    <t>Tần số điện lưới đầu vào</t>
  </si>
  <si>
    <t>Hiệu suất đầu ra của hệ thống</t>
  </si>
  <si>
    <t>Điện áp đầu ra</t>
  </si>
  <si>
    <t>Dòng điện đầu ra</t>
  </si>
  <si>
    <t>Tần số chuyển mạch mong muốn</t>
  </si>
  <si>
    <t>Diện tích mặt cắt ngang của lõi từ</t>
  </si>
  <si>
    <t>Mật độ từ thông tối đa của lõi từ</t>
  </si>
  <si>
    <t>Điện áp bù tối đa để bù sụt áp trên đường dây đầu ra</t>
  </si>
  <si>
    <t>Điện áp trên cuộn phụ (VCC)</t>
  </si>
  <si>
    <t>Mô tả</t>
  </si>
  <si>
    <t>Tham số</t>
  </si>
  <si>
    <t>Các điểm cần lưu ý trong yêu cầu thiết kế</t>
  </si>
  <si>
    <t>Nhập theo nhu cầu sử dụng</t>
  </si>
  <si>
    <t>Nếu không chắc chắn, có thể điền là 80%</t>
  </si>
  <si>
    <t>Nhập theo yêu cầu điện áp đầu ra</t>
  </si>
  <si>
    <t>Nhập theo yêu cầu dòng điện đầu ra</t>
  </si>
  <si>
    <t>Đề xuất, chọn tần số nhỏ hơn 60kHz</t>
  </si>
  <si>
    <t>Điền theo kích thước của máy biến áp, kiểm tra trong danh sách đính kèm</t>
  </si>
  <si>
    <t>Giá trị đề xuất là 270mT</t>
  </si>
  <si>
    <t>Giá trị đề xuất là 10V</t>
  </si>
  <si>
    <t>Lượng bù tối đa có thể đạt được tùy theo tích của đường đầu ra và dòng điện đầu ra tối đa.</t>
  </si>
  <si>
    <t>ĐẦU VÀO THIẾT KẾ</t>
  </si>
  <si>
    <t>KẾT QUẢ TÍNH TOÁN SƠ CẤP</t>
  </si>
  <si>
    <t>KΩ</t>
  </si>
  <si>
    <t>Giá trị sau tính toán</t>
  </si>
  <si>
    <t>Giá trị đầu vào</t>
  </si>
  <si>
    <t>Lựa chọn giá trị tụ chỉnh lưu sau cầu</t>
  </si>
  <si>
    <t>Lựa chọn dựa trên diện tích PCB thực tế. Các giá trị tính toán của tụ chỉ tham khảo.</t>
  </si>
  <si>
    <t>Điện áp tụ chỉnh lưu tối thiểu</t>
  </si>
  <si>
    <t>Tỉ lệ lớn nhất của Vòng dây sơ cấp / Vòng dây thứ cấp</t>
  </si>
  <si>
    <t>Dòng điện Max phía sơ cấp</t>
  </si>
  <si>
    <t>Điện trở cảm biến dòng điện</t>
  </si>
  <si>
    <t>Độ tự cảm phía sơ cấp</t>
  </si>
  <si>
    <t>Số vòng cuộn sơ cấp</t>
  </si>
  <si>
    <t>Số vòng cuộn phụ</t>
  </si>
  <si>
    <t>Điện trở Feedback trên.</t>
  </si>
  <si>
    <t>Điện trở Feedback dưới.</t>
  </si>
  <si>
    <t>Không cần điền giá trị vào bảng</t>
  </si>
  <si>
    <t>Lựa chọn giá trị điện cảm gần với giá trị tham khảo</t>
  </si>
  <si>
    <t>Lựa chọn giá trị thực tế lớn hơn giá trị tham khảo để tham số Bm nhỏ hơn giá trị quy định, nếu không sẽ bị bão hòa.</t>
  </si>
  <si>
    <t>Theo khung máy biến áp và đường kính dây tráng men. Lựa chọn giá trị tương tự với giá trị tính toán</t>
  </si>
  <si>
    <t>Lựa chọn giá trị gần với giá trị tham khảo</t>
  </si>
  <si>
    <t>Lựa chọn giá trị trở gần với giá trị tham khảo</t>
  </si>
  <si>
    <t>Nếu chọn giá trị lớn hơn, dòng điện ở điệp áp thấp sẽ không chính xác</t>
  </si>
  <si>
    <t>Điện áp Vka.max (@300VAC,50Hz) = 48V, lựa chọn Diode có điện áp ngược gấp 2 lần điện áp lớn nhất ~ 2x48V = 96V 
--&gt; Chọn Diode đầu ra là SS3100</t>
  </si>
  <si>
    <t>Điện áp Vka.max (@300VAC,50Hz) = 96.1V, lựa chọn Diode có điện áp ngược gấp 2 lần điện áp lớn nhất ~ 2x96.1V = 192.2V 
--&gt; Chọn Diode đầu ra là ES1J</t>
  </si>
  <si>
    <t>Kết quả kì vọng</t>
  </si>
  <si>
    <t>Kết quả thực tế</t>
  </si>
  <si>
    <t>Dòng điện đầu ra lớn nhất trên tải</t>
  </si>
  <si>
    <t>Điện áp phản hổi của cuộn phụ</t>
  </si>
  <si>
    <t>Tần số hoạt động của IC</t>
  </si>
  <si>
    <t>Mật độ từ thông của lõi từ</t>
  </si>
  <si>
    <t>Điện áp tối đa của VCE (hoặc VDS) của thành phần chuyển mạch</t>
  </si>
  <si>
    <t>Điện áp ngược tối đa của Diode chỉnh lưu đầu ra</t>
  </si>
  <si>
    <t>Điện áp ngược tối đa của Diode chỉnh lưu cuộn phụ</t>
  </si>
  <si>
    <t>Nếu giá trị không khớp, có thể tinh chỉnh các điện trở FB: Ru, Rd</t>
  </si>
  <si>
    <t>Nếu giá trị không khớp, có thể điều chỉnh tỉ lệ Np/Ns</t>
  </si>
  <si>
    <t>Cần đảm bảo điện áp không tải ở đầu ra lớn hơn 5.5V. Nếu nhỏ hơn 5.5V thì số vòng ở cuộn AUX ở phần đầu vào thiết kế phải tăng nhiều hơn đáng kể</t>
  </si>
  <si>
    <t>Khi tần số vượt quá 80kHz, hệ thống hoạt động không ổn định</t>
  </si>
  <si>
    <t>Cần đảm bảo giá trị đầu ra không được vượt quá 285mT</t>
  </si>
  <si>
    <t xml:space="preserve">Tính toán trong trường hợp Tự cảm rò cực đại là 10% Tự cảm cuộn sơ cấp. </t>
  </si>
  <si>
    <t>Chọn Diode Schottky đầu ra dựa trên giá trị đầu ra</t>
  </si>
  <si>
    <t>KẾT QUẢ TÍNH TOÁN THỨ CẤP</t>
  </si>
  <si>
    <t>Kích thước dây thứ cấp</t>
  </si>
  <si>
    <t>Tiết diện dây thứ cấp</t>
  </si>
  <si>
    <t>Kích thước dây sơ cấp</t>
  </si>
  <si>
    <t>dp</t>
  </si>
  <si>
    <t>S_s</t>
  </si>
  <si>
    <t>d_s</t>
  </si>
  <si>
    <t>Tiết diện dây sơ cấp</t>
  </si>
  <si>
    <t>Dòng điện tối đa, dây dẫn sơ cấp chịu đựng</t>
  </si>
  <si>
    <t>Dòng điện tối đa, dây dẫn thứ cấp chịu đựng</t>
  </si>
  <si>
    <t>I_s</t>
  </si>
  <si>
    <t>I_p</t>
  </si>
  <si>
    <t>Dòng thứ cấp tỉ lệ với dòng sơ cấp thông qua hệ số Np và Ns</t>
  </si>
  <si>
    <t xml:space="preserve">Ip.rms </t>
  </si>
  <si>
    <t>Dòng sơ cấp</t>
  </si>
  <si>
    <t xml:space="preserve">
Lựa chọn dây đơn 0.32mm tráng men hoặc 0.32mm bọc nhựa cách điện cho cuộn thứ cấp</t>
  </si>
  <si>
    <t xml:space="preserve">
Lựa chọn dây đơn 0.15mm tráng men cho cuộn sơ cấp</t>
  </si>
  <si>
    <t>S_p</t>
  </si>
  <si>
    <t>LỰA CHỌN DÂY QUẤN BIẾN ÁP</t>
  </si>
  <si>
    <t>Bobbin</t>
  </si>
  <si>
    <t>d_p</t>
  </si>
  <si>
    <t>T_p</t>
  </si>
  <si>
    <t>L_s</t>
  </si>
  <si>
    <t>T_s</t>
  </si>
  <si>
    <t>d_aux</t>
  </si>
  <si>
    <t>T_aux</t>
  </si>
  <si>
    <t>LỰA CHỌN CUỘN BIẾN ÁP</t>
  </si>
  <si>
    <t>- 3 lớp băng dính cách điện giữa mỗi cuộn
- Khoảng cách giữa sơ cấp và thứ cấp 6mm</t>
  </si>
  <si>
    <t>TÍNH TOÁN R-C-D SNUBBER</t>
  </si>
  <si>
    <t>Lựa chọn điện cảm rò từ 5 - 10%</t>
  </si>
  <si>
    <t>Điện áp lớn nhất của mosfet</t>
  </si>
  <si>
    <t>Điện cảm rò</t>
  </si>
  <si>
    <t>5 + 5 pin</t>
  </si>
  <si>
    <t>Thông số điện vào ra</t>
  </si>
  <si>
    <t>TT</t>
  </si>
  <si>
    <t>Số lượng mẫu</t>
  </si>
  <si>
    <t>Max</t>
  </si>
  <si>
    <t>Min</t>
  </si>
  <si>
    <t>TB</t>
  </si>
  <si>
    <t>Điện áp đầu vào (VAC)</t>
  </si>
  <si>
    <t>Điện áp đầu ra (VDC)</t>
  </si>
  <si>
    <t>Hở tải</t>
  </si>
  <si>
    <t>50 mA</t>
  </si>
  <si>
    <t>200mA</t>
  </si>
  <si>
    <t>500mA</t>
  </si>
  <si>
    <t>Thông số điện áp đầu ra của nguồn 3.3V (đo bằng Oscilloscope)</t>
  </si>
  <si>
    <t>Thông số điện áp đầu ra của nguồn 5.0V (đo bằng Oscilloscope)</t>
  </si>
  <si>
    <t>Dòng AC</t>
  </si>
  <si>
    <t>Công suất</t>
  </si>
  <si>
    <t>Hệ số công suất</t>
  </si>
  <si>
    <t>THD</t>
  </si>
  <si>
    <t>Điện áp ra</t>
  </si>
  <si>
    <t>Dòng DC</t>
  </si>
  <si>
    <t>Hiệu suất nguồn</t>
  </si>
  <si>
    <t xml:space="preserve">Điện áp đầu vào </t>
  </si>
  <si>
    <t>mA</t>
  </si>
  <si>
    <t>Thông số phối hợp đo với Công tắc cảm ứng WIFI 4 nút CTCU.WF CN.04T.2W.SP</t>
  </si>
  <si>
    <t>Vmin</t>
  </si>
  <si>
    <t>Vmax</t>
  </si>
  <si>
    <t>Vrms</t>
  </si>
  <si>
    <t>100 mA</t>
  </si>
  <si>
    <t>300mA</t>
  </si>
  <si>
    <t>Ripple điện áp đầu ra với tải max 500mA</t>
  </si>
  <si>
    <t>150V</t>
  </si>
  <si>
    <t>5V</t>
  </si>
  <si>
    <t>3.3VDC</t>
  </si>
  <si>
    <t>- V.max = 3.34 VDC
- V.min = 3.26 VDC
- V.rms = 3.31 VDC
- %Ripple: -1.53% ; + 0.9%</t>
  </si>
  <si>
    <t>- V.max = 3.36 VDC
- V.min = 3.26 VDC
- V.rms = 3.31 VDC
- %Ripple: -1.53% ; + 1.51%</t>
  </si>
  <si>
    <t>- V.max = 5.4 VDC
- V.min = 5.26 VDC
- V.rms = 5.33VDC
- %Ripple: -1.33% ; + 1.31%</t>
  </si>
  <si>
    <t>- V.max = 5.4 VDC
- V.min = 5.26 VDC
- V.rms = 5.30 VDC
- %Ripple: -0.75% ; + 1.88%</t>
  </si>
  <si>
    <t>- V.max = 5.38 VDC
- V.min = 5.24 VDC
- V.rms = 5.29 VDC
- %Ripple: -0.94% ; + 1.7%</t>
  </si>
  <si>
    <t>Tụ 100nF/1206/1K</t>
  </si>
  <si>
    <t>Diode ES1J</t>
  </si>
  <si>
    <t>Đạt</t>
  </si>
  <si>
    <t>Đạt 
(Không bão hòa)</t>
  </si>
  <si>
    <t>- Điện áp: 265VAC/50Hz
- Nhiệt độ: 50°C (± 2°C)
- Tải 500mA</t>
  </si>
  <si>
    <t>Đạt 3 mẫu</t>
  </si>
  <si>
    <t xml:space="preserve"> Vka.rrm.max = 600V;
Iak.max = 340mA</t>
  </si>
  <si>
    <t xml:space="preserve"> Vka.rrm.max = 528V;
Iak.max = 304mA</t>
  </si>
  <si>
    <t xml:space="preserve"> Vka.rrm.max = 480V;
Iak.max = 296mA</t>
  </si>
  <si>
    <t xml:space="preserve"> Vka.rrm.max = 384V;
Iak.max = 272mA</t>
  </si>
  <si>
    <t>Thông số kỹ thuật</t>
  </si>
  <si>
    <t xml:space="preserve">Điện áp Vds và
Dòng Ids của MOSFET công suất khi hoạt động ổn định
</t>
  </si>
  <si>
    <t>Điện áp Vds và
Dòng Ids của MOSFET công suất khi khởi động</t>
  </si>
  <si>
    <t>Phương pháp, điều kiện 
và thiết bị đo</t>
  </si>
  <si>
    <t>1. Đo và lưu Wareform, giá trị đỉnh dòng Id 
2. Điện áp nguồn Vin.max: 300-265-220-150VAC
3. Trạng thái driver: hoạt động ổn định 
4. Giãn rộng wareform sao cho dễ đánh giá nhất
5. Thiết bị: Osciloscope và kẹp đo dòng</t>
  </si>
  <si>
    <t>1. Đo và lưu Wareform, giá trị đỉnh dòng Id, dùng chế độ trigger, bắt mức đỉnh
2. Điện áp nguồn Vin.max: 300-265-220-150VAC
3. Trạng thái driver: khởi động 
4. Giãn rộng wareform sao cho dễ đánh giá nhất
5. Thiết bị: Osciloscope và kẹp đo dòng</t>
  </si>
  <si>
    <t>Hình ảnh wave form</t>
  </si>
  <si>
    <t>Giới hạn</t>
  </si>
  <si>
    <t xml:space="preserve">1. Dòng Ids continuosmax của MOSFET x hệ số an toàn 0.85   
2. Điện áp Vds.max của MOSFET x hệ số an toàn 0.85  </t>
  </si>
  <si>
    <t>1. Giá trị giới hạn: Đạt
2. Dạng sóng: Đạt
3. Tổn hao chuyển mạch: nhỏ</t>
  </si>
  <si>
    <t>Driver ngoài vỏ, nhiệt độ môi trường 80oC. Thời gian thử nghiệm: Ngày 12 -14 tháng 04 năm 2024</t>
  </si>
  <si>
    <t>Driver ngoài vỏ, nhiệt độ môi trường 50oC. Thời gian thử nghiệm: Ngày 12 -14 tháng 04 năm 2024</t>
  </si>
  <si>
    <t xml:space="preserve">Điện áp Vka và
Dòng Id của diode công suất ra khi hoạt động ổn định
</t>
  </si>
  <si>
    <t xml:space="preserve">Điện áp Vka và
Dòng Id của diode D3 khi khởi động
</t>
  </si>
  <si>
    <t>1. Đo và lưu Wareform, giá trị đỉnh dòng Id, dùng chế độ trigger, bắt mức đỉnh
2. Điện áp nguồn Vin.max: 300-265-220-150VAC
3. Trạng thái driver: khởi động
4. Giãn rộng wareform sao cho dễ đánh giá nhất
5. Thiết bị: Osciloscope và kẹp đo dòng</t>
  </si>
  <si>
    <t>Dòng Id của diode công suất ra khi hoạt động ổn định</t>
  </si>
  <si>
    <t xml:space="preserve">1. Dòng Ids continuosmax của MOSFET x hệ số an toàn 0.85   </t>
  </si>
  <si>
    <t>1. Cuộn dây sơ cấp không bão hòa
2. Dạng sóng: Đạt</t>
  </si>
  <si>
    <t>BIỂU MẪU KIỂM TRA ĐỘ BỀN ĐIỆN DRIVER</t>
  </si>
  <si>
    <t>TIÊU CHÍ 
KIỂM TRA</t>
  </si>
  <si>
    <t>PHƯƠNG PHÁP - ĐIỀU KIỆN KIỂM TRA -THIẾT BỊ ĐO - THÔNG SỐ</t>
  </si>
  <si>
    <t>TIÊU CHUẨN KỸ THUẬT CHẤP NHẬN</t>
  </si>
  <si>
    <t>BẬC RÚT NGHIỆM
SỐ MẪU</t>
  </si>
  <si>
    <t>Độ bền điện
Input &amp; Output
(chỉ làm với nguồn cách ly)</t>
  </si>
  <si>
    <t>Thiết bị : 
 -Điều kiện kiểm tra
Điện áp thử 1875VDC/3750VDC
Ngưỡng đặt dòng dò : 10mA
Thời gian thử: 60s</t>
  </si>
  <si>
    <t xml:space="preserve"> - Không bị đánh thủng
 - Hoạt động bình thường sau thử nghiệm.</t>
  </si>
  <si>
    <t xml:space="preserve">Độ bền điện
Input &amp; Case
(vỏ driver hoặc đèn là kim loại)
</t>
  </si>
  <si>
    <t>Thiết bị : 
 -Điều kiện kiểm tra
Điện áp thử 1.5kVAC
Ngưỡng đặt dòng dò : 10mA
Thời gian thử: 60s</t>
  </si>
  <si>
    <t>Điện trở cách điện
Input &amp; Case
(vỏ driver hoặc đèn là kim loại)</t>
  </si>
  <si>
    <t>Thiết bị : Megaom
 - Điều kiện kiểm tra
Đo điện trở giữa đầu vào và đầu ra của nguồn.
Điện áp thử : 500Vdc</t>
  </si>
  <si>
    <r>
      <t>100M</t>
    </r>
    <r>
      <rPr>
        <sz val="12"/>
        <rFont val="Symbol"/>
        <family val="1"/>
        <charset val="2"/>
      </rPr>
      <t>W</t>
    </r>
  </si>
  <si>
    <t>Dòng rò ra vỏ đèn</t>
  </si>
  <si>
    <t xml:space="preserve"> </t>
  </si>
  <si>
    <t>Chưa kiểm tra</t>
  </si>
  <si>
    <t>Thử nghiệm ngắn mạch đầu ra</t>
  </si>
  <si>
    <t>Thử ngắn mạch đầu ra của nguồn tại điện áp 220VAC @25 oC/1h</t>
  </si>
  <si>
    <t>01 mẫu
Sai lỗi chấp nhận: 0%</t>
  </si>
  <si>
    <t>Đèn hoạt động sau thử nghiệm</t>
  </si>
  <si>
    <t>Sau thử nghiệm, Driver hoạt động bình thường ít nhất 15'</t>
  </si>
  <si>
    <t>Thử nghiệm hở tải đầu ra</t>
  </si>
  <si>
    <t>Thử hở tải đầu ra tại điện áp 220VAC @25 oC/1h</t>
  </si>
  <si>
    <t>Thử nghiệm ứng suất nhiệt</t>
  </si>
  <si>
    <t>Thiết bị: Tủ nhiệt độ cao và tủ nhiệt độ thấp
Không cấp nguồn, lưu ở nhiệt độ -10 oC/30' sau đó chuyển sang lưu ở nhiệt độ +70oC/1h. Thực hiện 5 chu kỳ</t>
  </si>
  <si>
    <t>BIỂU MẪU KIỂM TRA HỞ TẢI - NGẮN MẠCH - ỨNG SUẤT</t>
  </si>
  <si>
    <t>XƯỞNG ĐIỆN TỬ-LED &amp; TBCS</t>
  </si>
  <si>
    <t>Thiết kế:</t>
  </si>
  <si>
    <t>Thời gian:</t>
  </si>
  <si>
    <t>Kiểm tra:</t>
  </si>
  <si>
    <t>YÊU CẦU</t>
  </si>
  <si>
    <t>THỰC TẾ</t>
  </si>
  <si>
    <t>ĐÁNH GIÁ</t>
  </si>
  <si>
    <t>GHI CHÚ
Ghi rõ các điểm không đạt, lý do</t>
  </si>
  <si>
    <t>Tỷ lệ</t>
  </si>
  <si>
    <t>Phù hợp kích thước vỏ: bản mạch, chiều cao linh kiện, chiều cao chân linh kiện…, yêu cầu lắp ráp dễ dàng nhất có thể, không phải đính keo.
Đánh giá theo thực tế và bản vẽ 3D vỏ và PCB</t>
  </si>
  <si>
    <t>Xắp xếp linh kiện cắm máy:
- điện trở, diode theo chiều vuông góc bản mạch</t>
  </si>
  <si>
    <t>Xắp xếp linh kiện :
- không vướng vào nhau, khi lắp bằng máy - tay kẹp không vướng linh kiện liền kề.</t>
  </si>
  <si>
    <t>Đường mạch layout ngắn nhất, tập chung một điểm đất công suất</t>
  </si>
  <si>
    <t>Mạch vòng công suất lớn nhỏ nhất có thể, không bao trùm IC điều khiển</t>
  </si>
  <si>
    <t>Linh kiện cắm máy: chân không gập vào đường mạch, có không gian cho dao cắt (3-3.5mm)</t>
  </si>
  <si>
    <t xml:space="preserve">Khoảng cách cách điện: 
- Điện áp 400V: tối thiểu 1mm, tốt nhất 1.7mm
- Điện áp 700V: tối thiểu 1.7mm, tốt nhất 2.5mm
- Sơ cấp và thứ cấp biến áp : tối thiểu 5mm
- Điện áp thấp: không nhỏ hơn 0.6mm
- Khoảng cách cách điện ra vỏ kim loại: tối thiểu 2.5mm, tốt nhất 5mm (tính cả linh kiện và đường mạch). </t>
  </si>
  <si>
    <t>Pad linh kiện SMD, linh kiện xuyên lỗ không được thông bề mặt đồng mối hàn</t>
  </si>
  <si>
    <t>Pad đồng dây nguồn vào ra: giắc, đi dây, lỗ thoát thiếc, hàn dây thuận tiện, kích thước</t>
  </si>
  <si>
    <t>Pad linh kiện xuyên lỗ lớn như tụ film, tụ hóa, cuộn dây, đủ lớn, tránh bong mạch khi va chạm.
Bổ xung hoa thị nếu cần.</t>
  </si>
  <si>
    <t>Kích thước lỗ chân LK:
- Cắm tay: lớn hơn kích thước chân LK 0.2mm
- Cắm máy: lớn hơn kích thước chân LK 0.4mm</t>
  </si>
  <si>
    <t>Mạch có LK hàn dán mặt dưới bằng hàn sóng, có IC: chiều LK trùng chiều bản mạch đi vào máy hàn.</t>
  </si>
  <si>
    <t>Pad LED chip, LK dán cân  đều hai bên, không lệch quá 40%, tránh kéo xô khi hàn dán.</t>
  </si>
  <si>
    <t xml:space="preserve">Ghi chú trên bản mạch: 
- RD-Loại mạch - loại SP - Công suất - Ver. (trên mạch)
- Tên file trùng ghi chú
- Ghi chú thêm vào phần cut-out các thông tin cần thiết: kích thước mạch, panel, ngày tháng TK, loại PCB sử dụng, dộ dày , độ dẫn nhiệt …. </t>
  </si>
  <si>
    <t>Kích thước ghép panel: 
- Tiết kiệm phôi nhất có thể
- Phù hợp với lắp ráp trên máy THD
- Máy SMD: có thể ghép panel lớn để giảm công lao động, chuyển các công đoạn khác thì chia ra.</t>
  </si>
  <si>
    <t>Điểm mark SMD
Lỗ mark THD</t>
  </si>
  <si>
    <t>Kích thước Panel (trừ module LED):
- Kích thước chiều ngang ≤180mm
- Kích thước chiều dọc ≤200mm, có thể ghép nhiều panel theo chiều dọc.
Module LED: 
- Kích thước chiều ngang ≤300mm
- Kích thước chiều dọc ≤1200mm</t>
  </si>
  <si>
    <t>Số PCB/panel :
- EB compact: 6
- Module LED: không giới hạn
- Bản mạch khác : chẵn 6 là tốt nhất, hoặc 3, 4, 5</t>
  </si>
  <si>
    <t>Đường mạch bao cho chạy ray: 5mm một bên, 10mm một bên.</t>
  </si>
  <si>
    <t>Thiết kế pad kim test của test fixture: đảm bảo kim test không chập sang đường mạch bên cạnh.
Xuất bản vẽ vị trí kim test để ngành DTTD TK test fixture</t>
  </si>
  <si>
    <t>PCB DESIGN CHECK LIST
PCB assembly check list 
Mạch: " DRIVER CTCU 5V-0.5A"</t>
  </si>
  <si>
    <t xml:space="preserve">           TRUNG TÂM DIGITAL</t>
  </si>
  <si>
    <t>Không có LK ở mặt dưới</t>
  </si>
  <si>
    <t>Sử dụng PAD LK theo thư viện tiêu chuẩn RAL</t>
  </si>
  <si>
    <t>Ghép 12pcs</t>
  </si>
  <si>
    <t>Không đạt</t>
  </si>
  <si>
    <t>Có ghi chú trên mạch PCB</t>
  </si>
  <si>
    <t>- Đường mạch điều khiển chân B của transistor Q1, Q2, Q3, Q4: 0.3mm</t>
  </si>
  <si>
    <t>- Khoảng cách từ PAD của D2 tới chân cuộn hút của RL4 : 2.5mm
- Xẻ đường mạch 1.5mm</t>
  </si>
  <si>
    <t>Chọn Diode ES1J</t>
  </si>
  <si>
    <t>Đo nhiệt độ trên Công tắc cảm ứng loại 1 nút</t>
  </si>
  <si>
    <t>Vị trí đo</t>
  </si>
  <si>
    <t>Trên bề mặt mạch in - Phía sau vị trí gắn LED</t>
  </si>
  <si>
    <t>Tiếp điểm Relay</t>
  </si>
  <si>
    <t>Cuộn hút Relay</t>
  </si>
  <si>
    <t>Đường mạch ra tải</t>
  </si>
  <si>
    <t>Vị trí LED WIFI</t>
  </si>
  <si>
    <t>Xung quanh nút ấn</t>
  </si>
  <si>
    <t>Trên mặt kính cảm ứng</t>
  </si>
  <si>
    <t xml:space="preserve">Trong vỏ nhựa </t>
  </si>
  <si>
    <r>
      <t xml:space="preserve">Kích thước đường mạch: xem xét các đường mạch công suất lớn phải đạt mật độ dòng </t>
    </r>
    <r>
      <rPr>
        <sz val="10"/>
        <rFont val="Calibri"/>
        <family val="2"/>
      </rPr>
      <t>≤</t>
    </r>
    <r>
      <rPr>
        <sz val="10"/>
        <rFont val="Times New Roman"/>
        <family val="1"/>
      </rPr>
      <t>15A/mm2
Đường mạch không nhỏ hơn 0.3mm</t>
    </r>
  </si>
  <si>
    <t>Sẽ gửi mẫu thử nghiệm</t>
  </si>
  <si>
    <t>Đạt 
0.7 kV / 3 mẫu</t>
  </si>
  <si>
    <t>Đạt
300V / 60p / 7 mẫu</t>
  </si>
  <si>
    <t>Trong môi trường nhiệt độ khắc nghiệt
+ Công tắc vẫn hoạt động bình thường.
+ Khi nhấn nút cảm ứng không bị đơ/chậm
+ Cấp điện, sau 60p công tắc không tự bật/tắt nút</t>
  </si>
  <si>
    <t>Kiểm tra với điện áp đầu vào 300VAC
+ Công tắc vẫn hoạt động bình thường.
+ Khi nhấn nút cảm ứng không bị đơ/chậm
+ Cấp điện, sau 60p công tắc không tự bật/tắt nút</t>
  </si>
  <si>
    <t>Sau khi kiểm tra xung sét:
+ Công tắc vẫn hoạt động bình thường.
+ Khi nhấn nút cảm ứng không bị đơ/chậm
+ Cấp điện, sau 60p công tắc không tự bật/tắt nút</t>
  </si>
  <si>
    <t>Shield kim loại Module WIFI</t>
  </si>
  <si>
    <t>Chính giữa nút ấn</t>
  </si>
  <si>
    <t>1 nút BLE</t>
  </si>
  <si>
    <t>1 nút WIFI</t>
  </si>
  <si>
    <t>Sau 25.000 lần bật tắt điện áp đầu vào
+ Công tắc vẫn hoạt động bình thường.
+ Khi nhấn nút cảm ứng không bị đơ/chậm
+ Cấp điện, sau 60p công tắc không tự bật/tắt nút</t>
  </si>
  <si>
    <t>- Điện áp: 330VAC/50Hz
- Nhiệt độ: 25°C (± 2°C)
- Số lần tắt bật điện áp đầu vào: 25.000 lần ( 1 giây Bật, 1 giây Tắt)</t>
  </si>
  <si>
    <t>Đang thử nghiệm
(12.700 / 25 000 lần)</t>
  </si>
  <si>
    <t>Đo nhiệt độ linh kiện trên Công tắc cảm ứng loại 4 nút WIFI</t>
  </si>
  <si>
    <t>(Ta@80oC, tải max 4 nút  ~ 360mA)</t>
  </si>
  <si>
    <t>(Ta@50oC, tải max 4 nút  ~ 360mA)</t>
  </si>
  <si>
    <t>- Tụ Film AC: 0.1uF/305VAC/MKP
- Tụ Film DC: 104K/400V/CBB21
- Cuộn lọc I 0608 - L=3mH
- Tụ hóa 2.2uF/400V/6.3*12mm/Pitch 2.5mm</t>
  </si>
  <si>
    <t>- Tụ Film AC: 0.1uF/305VAC/MKP
- Tụ Film DC: 104K/400V/CBB21
- Tụ hóa 2.2uF/400V/6.3*12mm/Pitch 2.5mm</t>
  </si>
  <si>
    <t>- Tụ Film AC: 0.1uF/305VAC/MKP
- Tụ hóa 2.2uF/400V/6.3*12mm/Pitch 2.5mm</t>
  </si>
  <si>
    <t>Số vòng cuộn thứ cấp</t>
  </si>
  <si>
    <t>Lựa chọn Diode chỉnh lưu nguồn phụ và Diode chỉnh lưu đầu ra</t>
  </si>
  <si>
    <r>
      <t xml:space="preserve">- Tụ Film AC: 0.1uF/305VAC/MKP
- Cuộn lọc I 0608 - L=3mH
- Tụ hóa 2.2uF/400V/6.3*12mm/Pitch 2.5mm
</t>
    </r>
    <r>
      <rPr>
        <b/>
        <sz val="11"/>
        <color rgb="FFFF0000"/>
        <rFont val="Calibri"/>
        <family val="2"/>
        <scheme val="minor"/>
      </rPr>
      <t>Xưởng chốt phương án này</t>
    </r>
  </si>
  <si>
    <t>Xưởng chốt phương án này:
Trở 150K</t>
  </si>
  <si>
    <t>Khảo sát nhiệt độ linh kiện (oC)</t>
  </si>
  <si>
    <t>Bộ 1</t>
  </si>
  <si>
    <t>Bộ 2</t>
  </si>
  <si>
    <t>Rsn = 150K</t>
  </si>
  <si>
    <t>C = 102K</t>
  </si>
  <si>
    <t>R = 100R</t>
  </si>
  <si>
    <t>R1 // R2  
(330K // 330K)</t>
  </si>
  <si>
    <t>80oC</t>
  </si>
  <si>
    <t>50oC</t>
  </si>
  <si>
    <t>Bộ Tụ - Trở Snubber
(Tải max 500mA)</t>
  </si>
  <si>
    <t>Bộ Tụ - Trở Snubber
(Tải CTCU WIFI 4 nút 350mA)</t>
  </si>
  <si>
    <r>
      <t xml:space="preserve">Không đạt </t>
    </r>
    <r>
      <rPr>
        <sz val="10"/>
        <color rgb="FFFF0000"/>
        <rFont val="Times New Roman"/>
        <family val="1"/>
      </rPr>
      <t>(xẻ đường mạch)
Xưởng chấp nhận phương án này</t>
    </r>
  </si>
  <si>
    <r>
      <t xml:space="preserve">- Lựa chọn tụ hóa 2.2uF/400V/6.3x8mm/P=2.5mm
</t>
    </r>
    <r>
      <rPr>
        <b/>
        <sz val="14"/>
        <rFont val="Times New Roman"/>
        <family val="1"/>
      </rPr>
      <t>- Thử nghiệm xung sét lần 1: 700V, đạt 5 chu kỳ
- Thử nghiệm xung sét lần 2: 700V, đạt 5 chu kỳ</t>
    </r>
  </si>
  <si>
    <t>Các kết quả nhiệt độ linh kiện nằm trong giới hạn cho phép của Datasheet
- Linh kiện Diode đầu ra: Xưởng chấp nhận mức nhiệt độ đã báo cáo, lựa chọn loại ES1J</t>
  </si>
  <si>
    <t>Diode xả ES1J</t>
  </si>
  <si>
    <t>Diode xảES1J</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</si>
</sst>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4" formatCode="_(&quot;$&quot;* #,##0.00_);_(&quot;$&quot;* \(#,##0.00\);_(&quot;$&quot;* &quot;-&quot;??_);_(@_)"/>
    <numFmt numFmtId="164" formatCode="0.000"/>
    <numFmt numFmtId="165" formatCode="0.0"/>
    <numFmt numFmtId="166" formatCode="0.0_ "/>
    <numFmt numFmtId="167" formatCode="#,##0.0_ "/>
    <numFmt numFmtId="168" formatCode="0.00_ "/>
    <numFmt numFmtId="169" formatCode="0.000_ "/>
  </numFmts>
  <fonts count="43" x14ac:knownFonts="1">
    <font>
      <sz val="11"/>
      <color theme="1"/>
      <name val="Calibri"/>
      <family val="2"/>
      <scheme val="minor"/>
    </font>
    <font>
      <b/>
      <sz val="11"/>
      <color theme="1"/>
      <name val="Calibri"/>
      <family val="2"/>
      <scheme val="minor"/>
    </font>
    <font>
      <sz val="11"/>
      <color rgb="FFFF0000"/>
      <name val="Calibri"/>
      <family val="2"/>
      <scheme val="minor"/>
    </font>
    <font>
      <sz val="8"/>
      <name val="Calibri"/>
      <family val="2"/>
      <scheme val="minor"/>
    </font>
    <font>
      <sz val="11"/>
      <color theme="1"/>
      <name val="Calibri"/>
      <family val="2"/>
      <scheme val="minor"/>
    </font>
    <font>
      <b/>
      <i/>
      <sz val="11"/>
      <color rgb="FFFF0000"/>
      <name val="Calibri"/>
      <family val="2"/>
      <scheme val="minor"/>
    </font>
    <font>
      <sz val="12"/>
      <name val="Times New Roman"/>
      <family val="1"/>
    </font>
    <font>
      <sz val="11"/>
      <name val="Times New Roman"/>
      <family val="1"/>
    </font>
    <font>
      <b/>
      <i/>
      <sz val="15"/>
      <color rgb="FFFF0000"/>
      <name val="Calibri"/>
      <family val="2"/>
      <scheme val="minor"/>
    </font>
    <font>
      <b/>
      <sz val="20"/>
      <color rgb="FFFF0000"/>
      <name val="Times New Roman"/>
      <family val="1"/>
    </font>
    <font>
      <sz val="11"/>
      <name val="Calibri"/>
      <family val="2"/>
      <scheme val="minor"/>
    </font>
    <font>
      <sz val="11"/>
      <color theme="1"/>
      <name val="Calibri"/>
      <family val="2"/>
    </font>
    <font>
      <i/>
      <sz val="11"/>
      <color rgb="FFFF0000"/>
      <name val="Calibri"/>
      <family val="2"/>
      <scheme val="minor"/>
    </font>
    <font>
      <sz val="11"/>
      <color theme="1"/>
      <name val="Times New Roman"/>
      <family val="1"/>
    </font>
    <font>
      <b/>
      <i/>
      <sz val="11"/>
      <color rgb="FFFF0000"/>
      <name val="Times New Roman"/>
      <family val="1"/>
    </font>
    <font>
      <sz val="11"/>
      <color rgb="FFFF0000"/>
      <name val="Times New Roman"/>
      <family val="1"/>
    </font>
    <font>
      <i/>
      <sz val="11"/>
      <color theme="1"/>
      <name val="Times New Roman"/>
      <family val="1"/>
    </font>
    <font>
      <b/>
      <sz val="11"/>
      <color rgb="FFFF0000"/>
      <name val="Times New Roman"/>
      <family val="1"/>
    </font>
    <font>
      <i/>
      <sz val="11"/>
      <color theme="1"/>
      <name val="Calibri"/>
      <family val="2"/>
      <scheme val="minor"/>
    </font>
    <font>
      <b/>
      <i/>
      <u/>
      <sz val="11"/>
      <color rgb="FFFF0000"/>
      <name val="Times New Roman"/>
      <family val="1"/>
    </font>
    <font>
      <i/>
      <u/>
      <sz val="11"/>
      <color rgb="FFFF0000"/>
      <name val="Times New Roman"/>
      <family val="1"/>
    </font>
    <font>
      <b/>
      <sz val="22"/>
      <color rgb="FFFF0000"/>
      <name val="Times New Roman"/>
      <family val="1"/>
    </font>
    <font>
      <b/>
      <sz val="24"/>
      <color rgb="FFFF0000"/>
      <name val="Calibri"/>
      <family val="2"/>
      <scheme val="minor"/>
    </font>
    <font>
      <sz val="24"/>
      <color theme="1"/>
      <name val="Calibri"/>
      <family val="2"/>
      <scheme val="minor"/>
    </font>
    <font>
      <sz val="14"/>
      <color rgb="FFFF0000"/>
      <name val="Times New Roman"/>
      <family val="1"/>
    </font>
    <font>
      <b/>
      <sz val="12"/>
      <name val="Times New Roman"/>
      <family val="1"/>
    </font>
    <font>
      <sz val="12"/>
      <color theme="1"/>
      <name val="Times New Roman"/>
      <family val="1"/>
    </font>
    <font>
      <b/>
      <sz val="22"/>
      <color theme="1"/>
      <name val="Times New Roman"/>
      <family val="1"/>
    </font>
    <font>
      <b/>
      <sz val="20"/>
      <name val="Times New Roman"/>
      <family val="1"/>
    </font>
    <font>
      <b/>
      <sz val="16"/>
      <color theme="1"/>
      <name val="Calibri"/>
      <family val="2"/>
      <scheme val="minor"/>
    </font>
    <font>
      <b/>
      <sz val="18"/>
      <color theme="1"/>
      <name val="Calibri"/>
      <family val="2"/>
      <scheme val="minor"/>
    </font>
    <font>
      <sz val="12"/>
      <color indexed="8"/>
      <name val="Times New Roman"/>
      <family val="1"/>
    </font>
    <font>
      <sz val="12"/>
      <name val="Symbol"/>
      <family val="1"/>
      <charset val="2"/>
    </font>
    <font>
      <sz val="10"/>
      <color rgb="FFFF0000"/>
      <name val="Times New Roman"/>
      <family val="1"/>
    </font>
    <font>
      <sz val="10"/>
      <name val="Times New Roman"/>
      <family val="1"/>
    </font>
    <font>
      <b/>
      <sz val="10"/>
      <name val="Times New Roman"/>
      <family val="1"/>
    </font>
    <font>
      <b/>
      <sz val="11"/>
      <name val="Times New Roman"/>
      <family val="1"/>
    </font>
    <font>
      <sz val="10"/>
      <name val="Calibri"/>
      <family val="2"/>
    </font>
    <font>
      <b/>
      <sz val="11"/>
      <name val="Calibri"/>
      <family val="2"/>
      <scheme val="minor"/>
    </font>
    <font>
      <b/>
      <sz val="11"/>
      <color rgb="FFFF0000"/>
      <name val="Calibri"/>
      <family val="2"/>
      <scheme val="minor"/>
    </font>
    <font>
      <b/>
      <sz val="14"/>
      <color rgb="FFFF0000"/>
      <name val="Times New Roman"/>
      <family val="1"/>
    </font>
    <font>
      <b/>
      <sz val="14"/>
      <name val="Times New Roman"/>
      <family val="1"/>
    </font>
    <font>
      <b/>
      <sz val="15"/>
      <name val="Calibri"/>
      <family val="2"/>
      <scheme val="minor"/>
    </font>
  </fonts>
  <fills count="15">
    <fill>
      <patternFill patternType="none"/>
    </fill>
    <fill>
      <patternFill patternType="gray125"/>
    </fill>
    <fill>
      <patternFill patternType="solid">
        <fgColor rgb="FFFFFF00"/>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rgb="FF92D050"/>
        <bgColor indexed="64"/>
      </patternFill>
    </fill>
    <fill>
      <patternFill patternType="solid">
        <fgColor indexed="13"/>
        <bgColor indexed="64"/>
      </patternFill>
    </fill>
    <fill>
      <patternFill patternType="solid">
        <fgColor indexed="9"/>
        <bgColor indexed="64"/>
      </patternFill>
    </fill>
    <fill>
      <patternFill patternType="solid">
        <fgColor theme="0"/>
        <bgColor indexed="64"/>
      </patternFill>
    </fill>
    <fill>
      <patternFill patternType="solid">
        <fgColor theme="4" tint="0.59999389629810485"/>
        <bgColor indexed="64"/>
      </patternFill>
    </fill>
    <fill>
      <patternFill patternType="solid">
        <fgColor theme="7" tint="0.79998168889431442"/>
        <bgColor indexed="64"/>
      </patternFill>
    </fill>
    <fill>
      <patternFill patternType="solid">
        <fgColor theme="5"/>
        <bgColor indexed="64"/>
      </patternFill>
    </fill>
    <fill>
      <patternFill patternType="solid">
        <fgColor theme="2"/>
        <bgColor indexed="64"/>
      </patternFill>
    </fill>
  </fills>
  <borders count="33">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double">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double">
        <color indexed="64"/>
      </left>
      <right style="thin">
        <color indexed="64"/>
      </right>
      <top style="thin">
        <color indexed="64"/>
      </top>
      <bottom style="medium">
        <color indexed="64"/>
      </bottom>
      <diagonal/>
    </border>
    <border>
      <left/>
      <right/>
      <top/>
      <bottom style="thin">
        <color indexed="64"/>
      </bottom>
      <diagonal/>
    </border>
    <border>
      <left/>
      <right/>
      <top style="thin">
        <color indexed="64"/>
      </top>
      <bottom/>
      <diagonal/>
    </border>
    <border>
      <left style="thin">
        <color indexed="64"/>
      </left>
      <right/>
      <top/>
      <bottom/>
      <diagonal/>
    </border>
    <border>
      <left/>
      <right style="thin">
        <color indexed="64"/>
      </right>
      <top style="thin">
        <color indexed="64"/>
      </top>
      <bottom/>
      <diagonal/>
    </border>
    <border>
      <left/>
      <right style="thin">
        <color indexed="64"/>
      </right>
      <top/>
      <bottom/>
      <diagonal/>
    </border>
    <border>
      <left style="thin">
        <color indexed="64"/>
      </left>
      <right/>
      <top style="thin">
        <color indexed="64"/>
      </top>
      <bottom/>
      <diagonal/>
    </border>
    <border>
      <left style="thin">
        <color indexed="64"/>
      </left>
      <right/>
      <top/>
      <bottom style="thin">
        <color indexed="64"/>
      </bottom>
      <diagonal/>
    </border>
    <border>
      <left style="thin">
        <color indexed="64"/>
      </left>
      <right style="thin">
        <color indexed="64"/>
      </right>
      <top/>
      <bottom/>
      <diagonal/>
    </border>
    <border>
      <left style="medium">
        <color indexed="64"/>
      </left>
      <right/>
      <top style="medium">
        <color indexed="64"/>
      </top>
      <bottom/>
      <diagonal/>
    </border>
    <border>
      <left/>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thin">
        <color indexed="64"/>
      </right>
      <top style="thin">
        <color indexed="64"/>
      </top>
      <bottom style="hair">
        <color indexed="64"/>
      </bottom>
      <diagonal/>
    </border>
  </borders>
  <cellStyleXfs count="3">
    <xf numFmtId="0" fontId="0" fillId="0" borderId="0"/>
    <xf numFmtId="44" fontId="4" fillId="0" borderId="0" applyFont="0" applyFill="0" applyBorder="0" applyAlignment="0" applyProtection="0"/>
    <xf numFmtId="9" fontId="4" fillId="0" borderId="0" applyFont="0" applyFill="0" applyBorder="0" applyAlignment="0" applyProtection="0"/>
  </cellStyleXfs>
  <cellXfs count="428">
    <xf numFmtId="0" fontId="0" fillId="0" borderId="0" xfId="0"/>
    <xf numFmtId="0" fontId="1" fillId="0" borderId="0" xfId="0" applyFont="1"/>
    <xf numFmtId="49" fontId="0" fillId="0" borderId="0" xfId="0" applyNumberFormat="1"/>
    <xf numFmtId="49" fontId="0" fillId="2" borderId="0" xfId="0" quotePrefix="1" applyNumberFormat="1" applyFill="1"/>
    <xf numFmtId="0" fontId="0" fillId="2" borderId="0" xfId="0" applyFill="1"/>
    <xf numFmtId="49" fontId="0" fillId="2" borderId="0" xfId="0" applyNumberFormat="1" applyFill="1"/>
    <xf numFmtId="0" fontId="0" fillId="0" borderId="0" xfId="0" applyAlignment="1">
      <alignment horizontal="center" vertical="center"/>
    </xf>
    <xf numFmtId="0" fontId="0" fillId="0" borderId="0" xfId="0" quotePrefix="1" applyAlignment="1">
      <alignment wrapText="1"/>
    </xf>
    <xf numFmtId="0" fontId="0" fillId="0" borderId="1" xfId="0" applyBorder="1" applyAlignment="1">
      <alignment horizontal="center" vertical="center"/>
    </xf>
    <xf numFmtId="0" fontId="0" fillId="0" borderId="1" xfId="0" applyBorder="1"/>
    <xf numFmtId="0" fontId="0" fillId="0" borderId="1" xfId="0" applyBorder="1" applyAlignment="1">
      <alignment horizontal="center" vertical="center" wrapText="1"/>
    </xf>
    <xf numFmtId="0" fontId="0" fillId="0" borderId="1" xfId="0" quotePrefix="1" applyBorder="1" applyAlignment="1">
      <alignment wrapText="1"/>
    </xf>
    <xf numFmtId="0" fontId="0" fillId="3" borderId="1" xfId="0" applyFill="1" applyBorder="1" applyAlignment="1">
      <alignment horizontal="center" vertical="center"/>
    </xf>
    <xf numFmtId="0" fontId="0" fillId="4" borderId="1" xfId="0" applyFill="1" applyBorder="1" applyAlignment="1">
      <alignment horizontal="center" vertical="center"/>
    </xf>
    <xf numFmtId="0" fontId="0" fillId="0" borderId="0" xfId="0" quotePrefix="1" applyAlignment="1">
      <alignment vertical="center" wrapText="1"/>
    </xf>
    <xf numFmtId="0" fontId="0" fillId="5" borderId="1" xfId="0" applyFill="1" applyBorder="1" applyAlignment="1">
      <alignment horizontal="center" vertical="center" wrapText="1"/>
    </xf>
    <xf numFmtId="0" fontId="0" fillId="5" borderId="1" xfId="0" applyFill="1" applyBorder="1"/>
    <xf numFmtId="0" fontId="0" fillId="4" borderId="1" xfId="0" applyFill="1" applyBorder="1" applyAlignment="1">
      <alignment horizontal="center" vertical="center" wrapText="1"/>
    </xf>
    <xf numFmtId="0" fontId="0" fillId="4" borderId="1" xfId="0" applyFill="1" applyBorder="1"/>
    <xf numFmtId="0" fontId="0" fillId="2" borderId="1" xfId="0" applyFill="1" applyBorder="1" applyAlignment="1">
      <alignment horizontal="center" vertical="center"/>
    </xf>
    <xf numFmtId="0" fontId="0" fillId="0" borderId="0" xfId="0" quotePrefix="1" applyAlignment="1">
      <alignment horizontal="left" vertical="center" wrapText="1"/>
    </xf>
    <xf numFmtId="0" fontId="0" fillId="0" borderId="0" xfId="0" applyAlignment="1">
      <alignment horizontal="left" vertical="center"/>
    </xf>
    <xf numFmtId="0" fontId="0" fillId="0" borderId="0" xfId="1" applyNumberFormat="1" applyFont="1"/>
    <xf numFmtId="0" fontId="0" fillId="0" borderId="0" xfId="0" applyAlignment="1">
      <alignment horizontal="right"/>
    </xf>
    <xf numFmtId="0" fontId="0" fillId="0" borderId="0" xfId="0" applyAlignment="1">
      <alignment wrapText="1"/>
    </xf>
    <xf numFmtId="0" fontId="0" fillId="0" borderId="0" xfId="0" applyAlignment="1">
      <alignment vertical="center"/>
    </xf>
    <xf numFmtId="0" fontId="0" fillId="0" borderId="0" xfId="0" applyAlignment="1">
      <alignment horizontal="left" vertical="center" wrapText="1"/>
    </xf>
    <xf numFmtId="2" fontId="0" fillId="0" borderId="0" xfId="0" applyNumberFormat="1" applyAlignment="1">
      <alignment horizontal="center" vertical="center"/>
    </xf>
    <xf numFmtId="0" fontId="0" fillId="0" borderId="0" xfId="0" quotePrefix="1" applyAlignment="1">
      <alignment horizontal="center" vertical="center"/>
    </xf>
    <xf numFmtId="0" fontId="0" fillId="0" borderId="0" xfId="0" applyAlignment="1">
      <alignment horizontal="center"/>
    </xf>
    <xf numFmtId="0" fontId="2" fillId="0" borderId="0" xfId="0" applyFont="1" applyAlignment="1">
      <alignment horizontal="center" vertical="center"/>
    </xf>
    <xf numFmtId="0" fontId="0" fillId="2" borderId="0" xfId="0" applyFill="1" applyAlignment="1">
      <alignment horizontal="center" vertical="center"/>
    </xf>
    <xf numFmtId="0" fontId="0" fillId="0" borderId="0" xfId="0" applyAlignment="1">
      <alignment horizontal="left" wrapText="1"/>
    </xf>
    <xf numFmtId="0" fontId="0" fillId="0" borderId="1" xfId="0" applyBorder="1" applyAlignment="1">
      <alignment horizontal="center"/>
    </xf>
    <xf numFmtId="0" fontId="6" fillId="0" borderId="0" xfId="0" applyFont="1" applyAlignment="1" applyProtection="1">
      <alignment horizontal="center" vertical="center"/>
      <protection locked="0"/>
    </xf>
    <xf numFmtId="0" fontId="6" fillId="0" borderId="0" xfId="0" applyFont="1" applyAlignment="1" applyProtection="1">
      <alignment horizontal="left" vertical="center"/>
      <protection locked="0"/>
    </xf>
    <xf numFmtId="0" fontId="6" fillId="9" borderId="0" xfId="0" applyFont="1" applyFill="1" applyAlignment="1" applyProtection="1">
      <alignment horizontal="center" vertical="center"/>
      <protection locked="0"/>
    </xf>
    <xf numFmtId="0" fontId="6" fillId="0" borderId="0" xfId="0" applyFont="1" applyAlignment="1" applyProtection="1">
      <alignment vertical="center"/>
      <protection locked="0"/>
    </xf>
    <xf numFmtId="0" fontId="6" fillId="0" borderId="1" xfId="0" applyFont="1" applyBorder="1" applyAlignment="1" applyProtection="1">
      <alignment horizontal="center" vertical="center"/>
      <protection locked="0"/>
    </xf>
    <xf numFmtId="0" fontId="6" fillId="0" borderId="1" xfId="0" applyFont="1" applyBorder="1" applyAlignment="1" applyProtection="1">
      <alignment vertical="center"/>
      <protection locked="0"/>
    </xf>
    <xf numFmtId="0" fontId="6" fillId="0" borderId="1" xfId="0" applyFont="1" applyBorder="1" applyAlignment="1" applyProtection="1">
      <alignment horizontal="left" vertical="center"/>
      <protection locked="0"/>
    </xf>
    <xf numFmtId="0" fontId="10" fillId="0" borderId="1" xfId="0" applyFont="1" applyBorder="1" applyAlignment="1">
      <alignment horizontal="center" vertical="center"/>
    </xf>
    <xf numFmtId="0" fontId="0" fillId="0" borderId="1" xfId="0" applyBorder="1" applyAlignment="1">
      <alignment horizontal="left" vertical="center"/>
    </xf>
    <xf numFmtId="0" fontId="0" fillId="7" borderId="1" xfId="0" applyFill="1" applyBorder="1" applyAlignment="1">
      <alignment horizontal="center" vertical="center"/>
    </xf>
    <xf numFmtId="0" fontId="0" fillId="5" borderId="0" xfId="0" applyFill="1" applyAlignment="1">
      <alignment horizontal="center" vertical="center" wrapText="1"/>
    </xf>
    <xf numFmtId="0" fontId="0" fillId="5" borderId="0" xfId="0" applyFill="1"/>
    <xf numFmtId="0" fontId="0" fillId="0" borderId="26" xfId="0" applyBorder="1" applyAlignment="1">
      <alignment horizontal="center" vertical="center"/>
    </xf>
    <xf numFmtId="0" fontId="13" fillId="0" borderId="0" xfId="0" applyFont="1" applyAlignment="1">
      <alignment horizontal="center" vertical="center"/>
    </xf>
    <xf numFmtId="0" fontId="13" fillId="0" borderId="0" xfId="0" applyFont="1"/>
    <xf numFmtId="0" fontId="13" fillId="0" borderId="1" xfId="0" applyFont="1" applyBorder="1" applyAlignment="1">
      <alignment horizontal="center" vertical="center"/>
    </xf>
    <xf numFmtId="0" fontId="13" fillId="0" borderId="1" xfId="0" applyFont="1" applyBorder="1" applyAlignment="1">
      <alignment horizontal="left" vertical="center"/>
    </xf>
    <xf numFmtId="0" fontId="13" fillId="0" borderId="1" xfId="0" applyFont="1" applyBorder="1"/>
    <xf numFmtId="0" fontId="13" fillId="7" borderId="1" xfId="0" applyFont="1" applyFill="1" applyBorder="1" applyAlignment="1">
      <alignment horizontal="center"/>
    </xf>
    <xf numFmtId="0" fontId="13" fillId="0" borderId="1" xfId="0" applyFont="1" applyBorder="1" applyAlignment="1">
      <alignment horizontal="center"/>
    </xf>
    <xf numFmtId="0" fontId="13" fillId="2" borderId="1" xfId="0" applyFont="1" applyFill="1" applyBorder="1" applyAlignment="1">
      <alignment horizontal="center"/>
    </xf>
    <xf numFmtId="0" fontId="16" fillId="0" borderId="1" xfId="0" applyFont="1" applyBorder="1"/>
    <xf numFmtId="0" fontId="13" fillId="0" borderId="1" xfId="0" applyFont="1" applyBorder="1" applyAlignment="1">
      <alignment vertical="center"/>
    </xf>
    <xf numFmtId="0" fontId="13" fillId="7" borderId="1" xfId="0" applyFont="1" applyFill="1" applyBorder="1" applyAlignment="1">
      <alignment horizontal="center" vertical="center"/>
    </xf>
    <xf numFmtId="0" fontId="16" fillId="0" borderId="1" xfId="0" applyFont="1" applyBorder="1" applyAlignment="1">
      <alignment vertical="center" wrapText="1"/>
    </xf>
    <xf numFmtId="0" fontId="13" fillId="0" borderId="1" xfId="0" applyFont="1" applyBorder="1" applyAlignment="1">
      <alignment horizontal="left" vertical="center" wrapText="1"/>
    </xf>
    <xf numFmtId="0" fontId="13" fillId="2" borderId="1" xfId="0" applyFont="1" applyFill="1" applyBorder="1" applyAlignment="1">
      <alignment horizontal="center" vertical="center"/>
    </xf>
    <xf numFmtId="0" fontId="15" fillId="2" borderId="1" xfId="0" applyFont="1" applyFill="1" applyBorder="1" applyAlignment="1">
      <alignment horizontal="center"/>
    </xf>
    <xf numFmtId="0" fontId="15" fillId="7" borderId="1" xfId="0" applyFont="1" applyFill="1" applyBorder="1" applyAlignment="1">
      <alignment horizontal="center" vertical="center"/>
    </xf>
    <xf numFmtId="0" fontId="15" fillId="0" borderId="1" xfId="0" applyFont="1" applyBorder="1" applyAlignment="1">
      <alignment horizontal="center" vertical="center"/>
    </xf>
    <xf numFmtId="0" fontId="13" fillId="0" borderId="1" xfId="0" applyFont="1" applyBorder="1" applyAlignment="1">
      <alignment horizontal="center" vertical="center" wrapText="1"/>
    </xf>
    <xf numFmtId="0" fontId="13" fillId="0" borderId="1" xfId="0" quotePrefix="1" applyFont="1" applyBorder="1" applyAlignment="1">
      <alignment horizontal="left" vertical="center"/>
    </xf>
    <xf numFmtId="0" fontId="13" fillId="0" borderId="1" xfId="0" quotePrefix="1" applyFont="1" applyBorder="1" applyAlignment="1">
      <alignment horizontal="left" vertical="center" wrapText="1"/>
    </xf>
    <xf numFmtId="0" fontId="16" fillId="0" borderId="1" xfId="0" quotePrefix="1" applyFont="1" applyBorder="1" applyAlignment="1">
      <alignment horizontal="left" vertical="center" wrapText="1"/>
    </xf>
    <xf numFmtId="0" fontId="16" fillId="0" borderId="1" xfId="0" applyFont="1" applyBorder="1" applyAlignment="1">
      <alignment horizontal="left" vertical="center" wrapText="1"/>
    </xf>
    <xf numFmtId="0" fontId="18" fillId="0" borderId="0" xfId="0" applyFont="1" applyAlignment="1">
      <alignment horizontal="left" vertical="center" wrapText="1"/>
    </xf>
    <xf numFmtId="0" fontId="18" fillId="0" borderId="0" xfId="0" applyFont="1" applyAlignment="1">
      <alignment wrapText="1"/>
    </xf>
    <xf numFmtId="0" fontId="13" fillId="4" borderId="1" xfId="0" applyFont="1" applyFill="1" applyBorder="1" applyAlignment="1">
      <alignment horizontal="center" vertical="center"/>
    </xf>
    <xf numFmtId="0" fontId="13" fillId="4" borderId="1" xfId="0" applyFont="1" applyFill="1" applyBorder="1" applyAlignment="1">
      <alignment horizontal="center" vertical="center" wrapText="1"/>
    </xf>
    <xf numFmtId="0" fontId="16" fillId="4" borderId="1" xfId="0" applyFont="1" applyFill="1" applyBorder="1" applyAlignment="1">
      <alignment horizontal="center" vertical="center" wrapText="1"/>
    </xf>
    <xf numFmtId="0" fontId="13" fillId="0" borderId="4" xfId="0" applyFont="1" applyBorder="1" applyAlignment="1">
      <alignment vertical="center" wrapText="1"/>
    </xf>
    <xf numFmtId="0" fontId="2" fillId="0" borderId="1" xfId="0" applyFont="1" applyBorder="1" applyAlignment="1">
      <alignment horizontal="center" vertical="center"/>
    </xf>
    <xf numFmtId="0" fontId="13" fillId="4" borderId="1" xfId="0" applyFont="1" applyFill="1" applyBorder="1" applyAlignment="1">
      <alignment horizontal="center"/>
    </xf>
    <xf numFmtId="0" fontId="6" fillId="0" borderId="1" xfId="0" applyFont="1" applyBorder="1" applyAlignment="1" applyProtection="1">
      <alignment horizontal="left" vertical="center" wrapText="1"/>
      <protection locked="0"/>
    </xf>
    <xf numFmtId="0" fontId="0" fillId="0" borderId="1" xfId="0" applyBorder="1" applyAlignment="1">
      <alignment vertical="center"/>
    </xf>
    <xf numFmtId="0" fontId="0" fillId="3" borderId="1" xfId="0" applyFill="1" applyBorder="1" applyAlignment="1">
      <alignment horizontal="center" vertical="center" wrapText="1"/>
    </xf>
    <xf numFmtId="0" fontId="6" fillId="8" borderId="1" xfId="0" applyFont="1" applyFill="1" applyBorder="1" applyAlignment="1" applyProtection="1">
      <alignment horizontal="center" vertical="center"/>
      <protection locked="0"/>
    </xf>
    <xf numFmtId="0" fontId="6" fillId="8" borderId="1" xfId="0" applyFont="1" applyFill="1" applyBorder="1" applyAlignment="1" applyProtection="1">
      <alignment horizontal="center" vertical="center" wrapText="1"/>
      <protection locked="0"/>
    </xf>
    <xf numFmtId="0" fontId="6" fillId="0" borderId="0" xfId="0" applyFont="1" applyAlignment="1" applyProtection="1">
      <alignment horizontal="center" vertical="center" wrapText="1"/>
      <protection locked="0"/>
    </xf>
    <xf numFmtId="0" fontId="6" fillId="0" borderId="11" xfId="0" applyFont="1" applyBorder="1" applyAlignment="1" applyProtection="1">
      <alignment horizontal="left" vertical="center"/>
      <protection locked="0"/>
    </xf>
    <xf numFmtId="0" fontId="6" fillId="0" borderId="12" xfId="0" applyFont="1" applyBorder="1" applyAlignment="1" applyProtection="1">
      <alignment horizontal="center" vertical="center"/>
      <protection locked="0"/>
    </xf>
    <xf numFmtId="0" fontId="6" fillId="0" borderId="13" xfId="0" applyFont="1" applyBorder="1" applyAlignment="1" applyProtection="1">
      <alignment horizontal="left" vertical="center" wrapText="1"/>
      <protection locked="0"/>
    </xf>
    <xf numFmtId="0" fontId="6" fillId="0" borderId="14" xfId="0" applyFont="1" applyBorder="1" applyAlignment="1" applyProtection="1">
      <alignment horizontal="left" vertical="center"/>
      <protection locked="0"/>
    </xf>
    <xf numFmtId="0" fontId="6" fillId="8" borderId="15" xfId="0" applyFont="1" applyFill="1" applyBorder="1" applyAlignment="1" applyProtection="1">
      <alignment horizontal="center" vertical="center"/>
      <protection locked="0"/>
    </xf>
    <xf numFmtId="0" fontId="6" fillId="0" borderId="16" xfId="0" applyFont="1" applyBorder="1" applyAlignment="1" applyProtection="1">
      <alignment horizontal="center" vertical="center"/>
      <protection locked="0"/>
    </xf>
    <xf numFmtId="0" fontId="6" fillId="0" borderId="17" xfId="0" applyFont="1" applyBorder="1" applyAlignment="1" applyProtection="1">
      <alignment horizontal="left" vertical="center" wrapText="1"/>
      <protection locked="0"/>
    </xf>
    <xf numFmtId="0" fontId="26" fillId="0" borderId="0" xfId="0" applyFont="1"/>
    <xf numFmtId="0" fontId="26" fillId="9" borderId="0" xfId="0" applyFont="1" applyFill="1" applyAlignment="1" applyProtection="1">
      <alignment horizontal="left" vertical="center"/>
      <protection locked="0"/>
    </xf>
    <xf numFmtId="0" fontId="25" fillId="0" borderId="11" xfId="0" applyFont="1" applyBorder="1" applyAlignment="1" applyProtection="1">
      <alignment horizontal="center" vertical="center" wrapText="1"/>
      <protection locked="0"/>
    </xf>
    <xf numFmtId="0" fontId="25" fillId="0" borderId="1" xfId="0" applyFont="1" applyBorder="1" applyAlignment="1" applyProtection="1">
      <alignment horizontal="center" vertical="center" wrapText="1"/>
      <protection locked="0"/>
    </xf>
    <xf numFmtId="0" fontId="25" fillId="0" borderId="12" xfId="0" applyFont="1" applyBorder="1" applyAlignment="1" applyProtection="1">
      <alignment horizontal="center" vertical="center" wrapText="1"/>
      <protection locked="0"/>
    </xf>
    <xf numFmtId="0" fontId="25" fillId="0" borderId="13" xfId="0" applyFont="1" applyBorder="1" applyAlignment="1" applyProtection="1">
      <alignment horizontal="center" vertical="center" wrapText="1"/>
      <protection locked="0"/>
    </xf>
    <xf numFmtId="0" fontId="6" fillId="0" borderId="11" xfId="0" applyFont="1" applyBorder="1" applyAlignment="1" applyProtection="1">
      <alignment horizontal="center" vertical="center"/>
      <protection locked="0"/>
    </xf>
    <xf numFmtId="0" fontId="6" fillId="0" borderId="1" xfId="0" applyFont="1" applyBorder="1" applyAlignment="1">
      <alignment horizontal="center" vertical="center"/>
    </xf>
    <xf numFmtId="166" fontId="6" fillId="0" borderId="1" xfId="0" applyNumberFormat="1" applyFont="1" applyBorder="1" applyAlignment="1">
      <alignment horizontal="center" vertical="center"/>
    </xf>
    <xf numFmtId="167" fontId="6" fillId="0" borderId="1" xfId="0" applyNumberFormat="1" applyFont="1" applyBorder="1" applyAlignment="1">
      <alignment horizontal="center" vertical="center"/>
    </xf>
    <xf numFmtId="166" fontId="6" fillId="0" borderId="15" xfId="0" applyNumberFormat="1" applyFont="1" applyBorder="1" applyAlignment="1">
      <alignment horizontal="center" vertical="center"/>
    </xf>
    <xf numFmtId="0" fontId="6" fillId="10" borderId="0" xfId="0" applyFont="1" applyFill="1" applyAlignment="1" applyProtection="1">
      <alignment horizontal="center" vertical="center"/>
      <protection locked="0"/>
    </xf>
    <xf numFmtId="0" fontId="26" fillId="0" borderId="0" xfId="0" applyFont="1" applyAlignment="1">
      <alignment horizontal="center" vertical="center"/>
    </xf>
    <xf numFmtId="0" fontId="6" fillId="0" borderId="14" xfId="0" applyFont="1" applyBorder="1" applyAlignment="1" applyProtection="1">
      <alignment horizontal="center" vertical="center"/>
      <protection locked="0"/>
    </xf>
    <xf numFmtId="0" fontId="25" fillId="9" borderId="13" xfId="0" applyFont="1" applyFill="1" applyBorder="1" applyAlignment="1" applyProtection="1">
      <alignment horizontal="center" vertical="center" wrapText="1"/>
      <protection locked="0"/>
    </xf>
    <xf numFmtId="0" fontId="26" fillId="0" borderId="0" xfId="0" applyFont="1" applyAlignment="1">
      <alignment horizontal="center"/>
    </xf>
    <xf numFmtId="0" fontId="6" fillId="11" borderId="1" xfId="0" applyFont="1" applyFill="1" applyBorder="1" applyAlignment="1" applyProtection="1">
      <alignment horizontal="center" vertical="center" wrapText="1"/>
      <protection locked="0"/>
    </xf>
    <xf numFmtId="166" fontId="6" fillId="11" borderId="1" xfId="0" applyNumberFormat="1" applyFont="1" applyFill="1" applyBorder="1" applyAlignment="1">
      <alignment horizontal="center" vertical="center"/>
    </xf>
    <xf numFmtId="168" fontId="6" fillId="11" borderId="1" xfId="0" applyNumberFormat="1" applyFont="1" applyFill="1" applyBorder="1" applyAlignment="1">
      <alignment horizontal="center" vertical="center"/>
    </xf>
    <xf numFmtId="169" fontId="6" fillId="11" borderId="1" xfId="0" applyNumberFormat="1" applyFont="1" applyFill="1" applyBorder="1" applyAlignment="1">
      <alignment horizontal="center" vertical="center"/>
    </xf>
    <xf numFmtId="0" fontId="6" fillId="11" borderId="1" xfId="0" applyFont="1" applyFill="1" applyBorder="1" applyAlignment="1">
      <alignment horizontal="center" vertical="center"/>
    </xf>
    <xf numFmtId="2" fontId="6" fillId="7" borderId="1" xfId="0" applyNumberFormat="1" applyFont="1" applyFill="1" applyBorder="1" applyAlignment="1">
      <alignment horizontal="center" vertical="center"/>
    </xf>
    <xf numFmtId="164" fontId="6" fillId="7" borderId="1" xfId="0" applyNumberFormat="1" applyFont="1" applyFill="1" applyBorder="1" applyAlignment="1">
      <alignment horizontal="center" vertical="center"/>
    </xf>
    <xf numFmtId="165" fontId="6" fillId="7" borderId="1" xfId="0" applyNumberFormat="1" applyFont="1" applyFill="1" applyBorder="1" applyAlignment="1">
      <alignment horizontal="center" vertical="center"/>
    </xf>
    <xf numFmtId="167" fontId="6" fillId="7" borderId="1" xfId="0" applyNumberFormat="1" applyFont="1" applyFill="1" applyBorder="1" applyAlignment="1">
      <alignment horizontal="center" vertical="center"/>
    </xf>
    <xf numFmtId="166" fontId="6" fillId="7" borderId="15" xfId="0" applyNumberFormat="1" applyFont="1" applyFill="1" applyBorder="1" applyAlignment="1">
      <alignment horizontal="center" vertical="center"/>
    </xf>
    <xf numFmtId="0" fontId="6" fillId="7" borderId="1" xfId="0" applyFont="1" applyFill="1" applyBorder="1" applyAlignment="1" applyProtection="1">
      <alignment horizontal="center" vertical="center" wrapText="1"/>
      <protection locked="0"/>
    </xf>
    <xf numFmtId="0" fontId="25" fillId="0" borderId="29" xfId="0" applyFont="1" applyBorder="1" applyAlignment="1" applyProtection="1">
      <alignment horizontal="center" vertical="center" wrapText="1"/>
      <protection locked="0"/>
    </xf>
    <xf numFmtId="0" fontId="25" fillId="0" borderId="30" xfId="0" applyFont="1" applyBorder="1" applyAlignment="1" applyProtection="1">
      <alignment horizontal="center" vertical="center" wrapText="1"/>
      <protection locked="0"/>
    </xf>
    <xf numFmtId="0" fontId="6" fillId="0" borderId="15" xfId="0" applyFont="1" applyBorder="1" applyAlignment="1" applyProtection="1">
      <alignment horizontal="center" vertical="center"/>
      <protection locked="0"/>
    </xf>
    <xf numFmtId="0" fontId="6" fillId="0" borderId="15" xfId="0" applyFont="1" applyBorder="1" applyAlignment="1" applyProtection="1">
      <alignment horizontal="left" vertical="center" wrapText="1"/>
      <protection locked="0"/>
    </xf>
    <xf numFmtId="0" fontId="13" fillId="7" borderId="1" xfId="0" applyFont="1" applyFill="1" applyBorder="1"/>
    <xf numFmtId="0" fontId="13" fillId="2" borderId="1" xfId="0" applyFont="1" applyFill="1" applyBorder="1"/>
    <xf numFmtId="0" fontId="17" fillId="0" borderId="2" xfId="0" applyFont="1" applyBorder="1" applyAlignment="1">
      <alignment horizontal="center" vertical="center" wrapText="1"/>
    </xf>
    <xf numFmtId="0" fontId="17" fillId="0" borderId="26" xfId="0" applyFont="1" applyBorder="1" applyAlignment="1">
      <alignment horizontal="center" vertical="center" wrapText="1"/>
    </xf>
    <xf numFmtId="0" fontId="17" fillId="0" borderId="3" xfId="0" applyFont="1" applyBorder="1" applyAlignment="1">
      <alignment horizontal="center" vertical="center" wrapText="1"/>
    </xf>
    <xf numFmtId="0" fontId="0" fillId="0" borderId="19" xfId="0" applyBorder="1" applyAlignment="1">
      <alignment horizontal="center" vertical="center"/>
    </xf>
    <xf numFmtId="0" fontId="0" fillId="0" borderId="19" xfId="0" applyBorder="1" applyAlignment="1">
      <alignment horizontal="left" vertical="center"/>
    </xf>
    <xf numFmtId="0" fontId="0" fillId="0" borderId="19" xfId="0" applyBorder="1" applyAlignment="1">
      <alignment horizontal="left" vertical="center" wrapText="1"/>
    </xf>
    <xf numFmtId="0" fontId="0" fillId="0" borderId="1" xfId="0" quotePrefix="1" applyBorder="1" applyAlignment="1">
      <alignment horizontal="center" vertical="center" wrapText="1"/>
    </xf>
    <xf numFmtId="0" fontId="0" fillId="3" borderId="1" xfId="0" applyFill="1" applyBorder="1" applyAlignment="1">
      <alignment horizontal="left" vertical="center" wrapText="1"/>
    </xf>
    <xf numFmtId="0" fontId="0" fillId="3" borderId="26" xfId="0" applyFill="1" applyBorder="1" applyAlignment="1">
      <alignment horizontal="center" vertical="center"/>
    </xf>
    <xf numFmtId="0" fontId="0" fillId="3" borderId="1" xfId="0" applyFill="1" applyBorder="1"/>
    <xf numFmtId="0" fontId="0" fillId="4" borderId="1" xfId="0" applyFill="1" applyBorder="1" applyAlignment="1">
      <alignment horizontal="left" vertical="center" wrapText="1"/>
    </xf>
    <xf numFmtId="0" fontId="0" fillId="0" borderId="4" xfId="0" applyBorder="1" applyAlignment="1">
      <alignment horizontal="center" vertical="center" wrapText="1"/>
    </xf>
    <xf numFmtId="0" fontId="0" fillId="0" borderId="0" xfId="0" applyAlignment="1">
      <alignment vertical="center" wrapText="1"/>
    </xf>
    <xf numFmtId="0" fontId="0" fillId="3" borderId="1" xfId="0" quotePrefix="1" applyFill="1" applyBorder="1" applyAlignment="1">
      <alignment vertical="center" wrapText="1"/>
    </xf>
    <xf numFmtId="0" fontId="0" fillId="6" borderId="1" xfId="0" applyFill="1" applyBorder="1"/>
    <xf numFmtId="0" fontId="0" fillId="6" borderId="1" xfId="0" quotePrefix="1" applyFill="1" applyBorder="1" applyAlignment="1">
      <alignment vertical="center" wrapText="1"/>
    </xf>
    <xf numFmtId="0" fontId="1" fillId="12" borderId="1" xfId="0" applyFont="1" applyFill="1" applyBorder="1" applyAlignment="1">
      <alignment horizontal="center" vertical="center"/>
    </xf>
    <xf numFmtId="0" fontId="6" fillId="0" borderId="1" xfId="0" applyFont="1" applyBorder="1" applyAlignment="1" applyProtection="1">
      <alignment horizontal="center" vertical="center" wrapText="1"/>
      <protection locked="0"/>
    </xf>
    <xf numFmtId="0" fontId="0" fillId="0" borderId="0" xfId="0" applyAlignment="1">
      <alignment horizontal="center" vertical="center" wrapText="1"/>
    </xf>
    <xf numFmtId="0" fontId="0" fillId="10" borderId="1" xfId="0" applyFill="1" applyBorder="1" applyAlignment="1">
      <alignment horizontal="center" vertical="center" wrapText="1"/>
    </xf>
    <xf numFmtId="0" fontId="0" fillId="10" borderId="1" xfId="0" applyFill="1" applyBorder="1"/>
    <xf numFmtId="0" fontId="30" fillId="0" borderId="1" xfId="0" applyFont="1" applyBorder="1" applyAlignment="1">
      <alignment horizontal="center" vertical="center" wrapText="1"/>
    </xf>
    <xf numFmtId="0" fontId="6" fillId="0" borderId="1" xfId="0" applyFont="1" applyBorder="1" applyAlignment="1">
      <alignment horizontal="center" vertical="center" wrapText="1"/>
    </xf>
    <xf numFmtId="0" fontId="6" fillId="0" borderId="2" xfId="0" applyFont="1" applyBorder="1" applyAlignment="1">
      <alignment horizontal="center" vertical="center" wrapText="1"/>
    </xf>
    <xf numFmtId="0" fontId="31" fillId="0" borderId="1" xfId="0" applyFont="1" applyBorder="1" applyAlignment="1">
      <alignment horizontal="center" vertical="center"/>
    </xf>
    <xf numFmtId="0" fontId="6" fillId="0" borderId="3" xfId="0" applyFont="1" applyBorder="1" applyAlignment="1">
      <alignment horizontal="center" vertical="center"/>
    </xf>
    <xf numFmtId="0" fontId="10" fillId="0" borderId="0" xfId="0" applyFont="1"/>
    <xf numFmtId="0" fontId="35" fillId="0" borderId="1" xfId="0" applyFont="1" applyBorder="1" applyAlignment="1">
      <alignment horizontal="center" vertical="center"/>
    </xf>
    <xf numFmtId="0" fontId="35" fillId="0" borderId="1" xfId="0" applyFont="1" applyBorder="1" applyAlignment="1">
      <alignment horizontal="center" vertical="center" wrapText="1"/>
    </xf>
    <xf numFmtId="0" fontId="35" fillId="0" borderId="5" xfId="0" applyFont="1" applyBorder="1" applyAlignment="1">
      <alignment horizontal="center" vertical="center" wrapText="1"/>
    </xf>
    <xf numFmtId="0" fontId="35" fillId="0" borderId="2" xfId="0" applyFont="1" applyBorder="1" applyAlignment="1">
      <alignment horizontal="center" vertical="center" wrapText="1"/>
    </xf>
    <xf numFmtId="0" fontId="34" fillId="0" borderId="1" xfId="0" applyFont="1" applyBorder="1" applyAlignment="1">
      <alignment horizontal="center" vertical="center" wrapText="1"/>
    </xf>
    <xf numFmtId="0" fontId="34" fillId="0" borderId="1" xfId="0" applyFont="1" applyBorder="1" applyAlignment="1">
      <alignment horizontal="left" vertical="center" wrapText="1"/>
    </xf>
    <xf numFmtId="9" fontId="34" fillId="0" borderId="32" xfId="2" applyFont="1" applyBorder="1" applyAlignment="1">
      <alignment horizontal="center" vertical="center" wrapText="1"/>
    </xf>
    <xf numFmtId="9" fontId="34" fillId="0" borderId="1" xfId="2" applyFont="1" applyBorder="1" applyAlignment="1">
      <alignment horizontal="center" vertical="center" wrapText="1"/>
    </xf>
    <xf numFmtId="0" fontId="38" fillId="0" borderId="0" xfId="0" applyFont="1"/>
    <xf numFmtId="0" fontId="10" fillId="0" borderId="0" xfId="0" applyFont="1" applyAlignment="1">
      <alignment horizontal="center" vertical="center"/>
    </xf>
    <xf numFmtId="0" fontId="10" fillId="0" borderId="0" xfId="0" applyFont="1" applyAlignment="1">
      <alignment wrapText="1"/>
    </xf>
    <xf numFmtId="0" fontId="35" fillId="0" borderId="1" xfId="0" applyFont="1" applyBorder="1" applyAlignment="1">
      <alignment horizontal="left" vertical="center"/>
    </xf>
    <xf numFmtId="0" fontId="10" fillId="0" borderId="0" xfId="0" applyFont="1" applyAlignment="1">
      <alignment horizontal="left"/>
    </xf>
    <xf numFmtId="0" fontId="10" fillId="0" borderId="0" xfId="0" applyFont="1" applyAlignment="1">
      <alignment horizontal="center"/>
    </xf>
    <xf numFmtId="0" fontId="34" fillId="0" borderId="1" xfId="0" quotePrefix="1" applyFont="1" applyBorder="1" applyAlignment="1">
      <alignment horizontal="left" vertical="center" wrapText="1"/>
    </xf>
    <xf numFmtId="0" fontId="0" fillId="0" borderId="1" xfId="0" quotePrefix="1" applyBorder="1" applyAlignment="1">
      <alignment horizontal="center" vertical="center"/>
    </xf>
    <xf numFmtId="0" fontId="0" fillId="13" borderId="1" xfId="0" applyFill="1" applyBorder="1" applyAlignment="1">
      <alignment horizontal="center" vertical="center"/>
    </xf>
    <xf numFmtId="0" fontId="0" fillId="0" borderId="1" xfId="0" quotePrefix="1" applyBorder="1" applyAlignment="1">
      <alignment vertical="center" wrapText="1"/>
    </xf>
    <xf numFmtId="0" fontId="26" fillId="0" borderId="0" xfId="0" applyFont="1" applyAlignment="1">
      <alignment wrapText="1"/>
    </xf>
    <xf numFmtId="0" fontId="6" fillId="0" borderId="0" xfId="0" applyFont="1" applyAlignment="1" applyProtection="1">
      <alignment horizontal="left" vertical="center" wrapText="1"/>
      <protection locked="0"/>
    </xf>
    <xf numFmtId="0" fontId="6" fillId="0" borderId="0" xfId="0" quotePrefix="1" applyFont="1" applyAlignment="1" applyProtection="1">
      <alignment horizontal="center" vertical="center"/>
      <protection locked="0"/>
    </xf>
    <xf numFmtId="0" fontId="0" fillId="2" borderId="1" xfId="0" quotePrefix="1" applyFill="1" applyBorder="1" applyAlignment="1">
      <alignment vertical="center" wrapText="1"/>
    </xf>
    <xf numFmtId="0" fontId="0" fillId="2" borderId="1" xfId="0" applyFill="1" applyBorder="1"/>
    <xf numFmtId="0" fontId="0" fillId="14" borderId="1" xfId="0" applyFill="1" applyBorder="1" applyAlignment="1">
      <alignment horizontal="center" vertical="center" wrapText="1"/>
    </xf>
    <xf numFmtId="0" fontId="0" fillId="0" borderId="0" xfId="0" quotePrefix="1" applyAlignment="1">
      <alignment horizontal="left" vertical="center" wrapText="1"/>
    </xf>
    <xf numFmtId="0" fontId="0" fillId="0" borderId="0" xfId="0" applyAlignment="1">
      <alignment horizontal="left" vertical="center"/>
    </xf>
    <xf numFmtId="0" fontId="0" fillId="0" borderId="0" xfId="0" applyAlignment="1">
      <alignment horizontal="left" wrapText="1"/>
    </xf>
    <xf numFmtId="0" fontId="0" fillId="0" borderId="1" xfId="0" applyBorder="1" applyAlignment="1">
      <alignment horizontal="center" vertical="center"/>
    </xf>
    <xf numFmtId="0" fontId="0" fillId="0" borderId="1" xfId="0" applyBorder="1" applyAlignment="1">
      <alignment horizontal="center"/>
    </xf>
    <xf numFmtId="0" fontId="9" fillId="0" borderId="1" xfId="0" applyFont="1" applyBorder="1" applyAlignment="1" applyProtection="1">
      <alignment horizontal="center" wrapText="1"/>
      <protection locked="0"/>
    </xf>
    <xf numFmtId="0" fontId="9" fillId="0" borderId="1" xfId="0" applyFont="1" applyBorder="1" applyAlignment="1" applyProtection="1">
      <alignment horizontal="center"/>
      <protection locked="0"/>
    </xf>
    <xf numFmtId="0" fontId="6" fillId="0" borderId="1" xfId="0" applyFont="1" applyBorder="1" applyAlignment="1" applyProtection="1">
      <alignment horizontal="center" vertical="center"/>
      <protection locked="0"/>
    </xf>
    <xf numFmtId="0" fontId="6" fillId="0" borderId="1" xfId="0" applyFont="1" applyBorder="1" applyAlignment="1" applyProtection="1">
      <alignment horizontal="left" vertical="center" wrapText="1"/>
      <protection locked="0"/>
    </xf>
    <xf numFmtId="0" fontId="6" fillId="0" borderId="1" xfId="0" applyFont="1" applyBorder="1" applyAlignment="1" applyProtection="1">
      <alignment horizontal="left" vertical="center"/>
      <protection locked="0"/>
    </xf>
    <xf numFmtId="0" fontId="8" fillId="2" borderId="19" xfId="0" applyFont="1" applyFill="1" applyBorder="1" applyAlignment="1">
      <alignment horizontal="center" vertical="center"/>
    </xf>
    <xf numFmtId="0" fontId="6" fillId="0" borderId="4" xfId="0" applyFont="1" applyBorder="1" applyAlignment="1" applyProtection="1">
      <alignment horizontal="center" vertical="center"/>
      <protection locked="0"/>
    </xf>
    <xf numFmtId="0" fontId="6" fillId="0" borderId="6" xfId="0" applyFont="1" applyBorder="1" applyAlignment="1" applyProtection="1">
      <alignment horizontal="center" vertical="center"/>
      <protection locked="0"/>
    </xf>
    <xf numFmtId="0" fontId="6" fillId="0" borderId="5" xfId="0" applyFont="1" applyBorder="1" applyAlignment="1" applyProtection="1">
      <alignment horizontal="center" vertical="center"/>
      <protection locked="0"/>
    </xf>
    <xf numFmtId="0" fontId="6" fillId="0" borderId="1" xfId="0" applyFont="1" applyBorder="1" applyAlignment="1" applyProtection="1">
      <alignment horizontal="center" vertical="center" wrapText="1"/>
      <protection locked="0"/>
    </xf>
    <xf numFmtId="0" fontId="10" fillId="0" borderId="1" xfId="0" applyFont="1" applyBorder="1" applyAlignment="1">
      <alignment horizontal="left" vertical="center" wrapText="1"/>
    </xf>
    <xf numFmtId="0" fontId="0" fillId="0" borderId="1" xfId="0" applyBorder="1" applyAlignment="1">
      <alignment horizontal="left" vertical="center" wrapText="1"/>
    </xf>
    <xf numFmtId="0" fontId="6" fillId="0" borderId="4" xfId="0" applyFont="1" applyBorder="1" applyAlignment="1" applyProtection="1">
      <alignment horizontal="left" vertical="center"/>
      <protection locked="0"/>
    </xf>
    <xf numFmtId="0" fontId="6" fillId="0" borderId="5" xfId="0" applyFont="1" applyBorder="1" applyAlignment="1" applyProtection="1">
      <alignment horizontal="left" vertical="center"/>
      <protection locked="0"/>
    </xf>
    <xf numFmtId="0" fontId="8" fillId="2" borderId="0" xfId="0" applyFont="1" applyFill="1" applyAlignment="1">
      <alignment horizontal="center" vertical="center"/>
    </xf>
    <xf numFmtId="0" fontId="0" fillId="0" borderId="0" xfId="0" applyAlignment="1">
      <alignment horizontal="left" vertical="center" wrapText="1"/>
    </xf>
    <xf numFmtId="0" fontId="0" fillId="0" borderId="1" xfId="0" applyBorder="1" applyAlignment="1">
      <alignment horizontal="center" vertical="center" wrapText="1"/>
    </xf>
    <xf numFmtId="0" fontId="0" fillId="0" borderId="1" xfId="0" applyBorder="1" applyAlignment="1">
      <alignment horizontal="left" vertical="center"/>
    </xf>
    <xf numFmtId="0" fontId="0" fillId="5" borderId="4" xfId="0" applyFill="1" applyBorder="1" applyAlignment="1">
      <alignment horizontal="center" vertical="center"/>
    </xf>
    <xf numFmtId="0" fontId="0" fillId="5" borderId="6" xfId="0" applyFill="1" applyBorder="1" applyAlignment="1">
      <alignment horizontal="center" vertical="center"/>
    </xf>
    <xf numFmtId="0" fontId="0" fillId="5" borderId="5" xfId="0" applyFill="1" applyBorder="1" applyAlignment="1">
      <alignment horizontal="center" vertical="center"/>
    </xf>
    <xf numFmtId="0" fontId="0" fillId="5" borderId="4" xfId="0" applyFill="1" applyBorder="1" applyAlignment="1">
      <alignment horizontal="center" vertical="center" wrapText="1"/>
    </xf>
    <xf numFmtId="0" fontId="0" fillId="5" borderId="6" xfId="0" applyFill="1" applyBorder="1" applyAlignment="1">
      <alignment horizontal="center" vertical="center" wrapText="1"/>
    </xf>
    <xf numFmtId="0" fontId="0" fillId="5" borderId="5" xfId="0" applyFill="1" applyBorder="1" applyAlignment="1">
      <alignment horizontal="center" vertical="center" wrapText="1"/>
    </xf>
    <xf numFmtId="0" fontId="0" fillId="0" borderId="1" xfId="0" quotePrefix="1" applyBorder="1" applyAlignment="1">
      <alignment horizontal="left" vertical="center" wrapText="1"/>
    </xf>
    <xf numFmtId="0" fontId="0" fillId="0" borderId="4" xfId="0" applyBorder="1" applyAlignment="1">
      <alignment horizontal="left" vertical="center" wrapText="1"/>
    </xf>
    <xf numFmtId="0" fontId="0" fillId="0" borderId="5" xfId="0" applyBorder="1" applyAlignment="1">
      <alignment horizontal="left" vertical="center"/>
    </xf>
    <xf numFmtId="0" fontId="0" fillId="0" borderId="4" xfId="0" applyBorder="1" applyAlignment="1">
      <alignment horizontal="left" vertical="center"/>
    </xf>
    <xf numFmtId="0" fontId="22" fillId="2" borderId="1" xfId="0" applyFont="1" applyFill="1" applyBorder="1" applyAlignment="1">
      <alignment horizontal="center"/>
    </xf>
    <xf numFmtId="0" fontId="23" fillId="2" borderId="1" xfId="0" applyFont="1" applyFill="1" applyBorder="1" applyAlignment="1">
      <alignment horizontal="center"/>
    </xf>
    <xf numFmtId="0" fontId="21" fillId="2" borderId="1" xfId="0" applyFont="1" applyFill="1" applyBorder="1" applyAlignment="1">
      <alignment horizontal="center"/>
    </xf>
    <xf numFmtId="0" fontId="0" fillId="0" borderId="24" xfId="0" applyBorder="1" applyAlignment="1">
      <alignment horizontal="center"/>
    </xf>
    <xf numFmtId="0" fontId="0" fillId="0" borderId="20" xfId="0" applyBorder="1" applyAlignment="1">
      <alignment horizontal="center"/>
    </xf>
    <xf numFmtId="0" fontId="0" fillId="0" borderId="22" xfId="0" applyBorder="1" applyAlignment="1">
      <alignment horizontal="center"/>
    </xf>
    <xf numFmtId="0" fontId="0" fillId="0" borderId="21" xfId="0" applyBorder="1" applyAlignment="1">
      <alignment horizontal="center"/>
    </xf>
    <xf numFmtId="0" fontId="0" fillId="0" borderId="0" xfId="0" applyAlignment="1">
      <alignment horizontal="center"/>
    </xf>
    <xf numFmtId="0" fontId="0" fillId="0" borderId="23" xfId="0" applyBorder="1" applyAlignment="1">
      <alignment horizontal="center"/>
    </xf>
    <xf numFmtId="0" fontId="0" fillId="0" borderId="25" xfId="0" applyBorder="1" applyAlignment="1">
      <alignment horizontal="center"/>
    </xf>
    <xf numFmtId="0" fontId="0" fillId="0" borderId="19" xfId="0" applyBorder="1" applyAlignment="1">
      <alignment horizontal="center"/>
    </xf>
    <xf numFmtId="0" fontId="0" fillId="0" borderId="7" xfId="0" applyBorder="1" applyAlignment="1">
      <alignment horizontal="center"/>
    </xf>
    <xf numFmtId="0" fontId="13" fillId="0" borderId="1" xfId="0" applyFont="1" applyBorder="1" applyAlignment="1">
      <alignment horizontal="left" vertical="center" wrapText="1"/>
    </xf>
    <xf numFmtId="0" fontId="13" fillId="0" borderId="1" xfId="0" quotePrefix="1" applyFont="1" applyBorder="1" applyAlignment="1">
      <alignment horizontal="center" vertical="center"/>
    </xf>
    <xf numFmtId="0" fontId="13" fillId="0" borderId="1" xfId="0" applyFont="1" applyBorder="1" applyAlignment="1">
      <alignment horizontal="center" vertical="center"/>
    </xf>
    <xf numFmtId="0" fontId="13" fillId="0" borderId="1" xfId="0" applyFont="1" applyBorder="1" applyAlignment="1">
      <alignment horizontal="center"/>
    </xf>
    <xf numFmtId="0" fontId="40" fillId="0" borderId="1" xfId="0" quotePrefix="1" applyFont="1" applyBorder="1" applyAlignment="1">
      <alignment horizontal="left" vertical="center" wrapText="1"/>
    </xf>
    <xf numFmtId="0" fontId="40" fillId="0" borderId="1" xfId="0" applyFont="1" applyBorder="1" applyAlignment="1">
      <alignment horizontal="left" vertical="center" wrapText="1"/>
    </xf>
    <xf numFmtId="0" fontId="14" fillId="0" borderId="2" xfId="0" applyFont="1" applyBorder="1" applyAlignment="1">
      <alignment horizontal="left" vertical="center" wrapText="1"/>
    </xf>
    <xf numFmtId="0" fontId="13" fillId="0" borderId="26" xfId="0" applyFont="1" applyBorder="1" applyAlignment="1">
      <alignment horizontal="left" vertical="center"/>
    </xf>
    <xf numFmtId="0" fontId="13" fillId="0" borderId="3" xfId="0" applyFont="1" applyBorder="1" applyAlignment="1">
      <alignment horizontal="left" vertical="center"/>
    </xf>
    <xf numFmtId="0" fontId="0" fillId="0" borderId="1" xfId="0" applyBorder="1" applyAlignment="1">
      <alignment horizontal="center" wrapText="1"/>
    </xf>
    <xf numFmtId="0" fontId="6" fillId="0" borderId="18" xfId="0" applyFont="1" applyBorder="1" applyAlignment="1" applyProtection="1">
      <alignment horizontal="left" vertical="center" wrapText="1"/>
      <protection locked="0"/>
    </xf>
    <xf numFmtId="0" fontId="6" fillId="0" borderId="15" xfId="0" applyFont="1" applyBorder="1" applyAlignment="1" applyProtection="1">
      <alignment horizontal="left" vertical="center"/>
      <protection locked="0"/>
    </xf>
    <xf numFmtId="0" fontId="25" fillId="2" borderId="1" xfId="0" applyFont="1" applyFill="1" applyBorder="1" applyAlignment="1" applyProtection="1">
      <alignment horizontal="center" vertical="center"/>
      <protection locked="0"/>
    </xf>
    <xf numFmtId="0" fontId="6" fillId="2" borderId="1" xfId="0" applyFont="1" applyFill="1" applyBorder="1" applyAlignment="1" applyProtection="1">
      <alignment horizontal="center" vertical="center"/>
      <protection locked="0"/>
    </xf>
    <xf numFmtId="0" fontId="42" fillId="2" borderId="1" xfId="0" applyFont="1" applyFill="1" applyBorder="1" applyAlignment="1">
      <alignment horizontal="center" vertical="center" wrapText="1"/>
    </xf>
    <xf numFmtId="0" fontId="21" fillId="0" borderId="1" xfId="0" applyFont="1" applyBorder="1" applyAlignment="1" applyProtection="1">
      <alignment horizontal="center" vertical="center"/>
      <protection locked="0"/>
    </xf>
    <xf numFmtId="0" fontId="6" fillId="7" borderId="2" xfId="0" applyFont="1" applyFill="1" applyBorder="1" applyAlignment="1" applyProtection="1">
      <alignment horizontal="center" vertical="center"/>
      <protection locked="0"/>
    </xf>
    <xf numFmtId="0" fontId="6" fillId="0" borderId="30" xfId="0" applyFont="1" applyBorder="1" applyAlignment="1" applyProtection="1">
      <alignment horizontal="center" vertical="center"/>
      <protection locked="0"/>
    </xf>
    <xf numFmtId="0" fontId="6" fillId="0" borderId="31" xfId="0" applyFont="1" applyBorder="1" applyAlignment="1" applyProtection="1">
      <alignment horizontal="center" vertical="center"/>
      <protection locked="0"/>
    </xf>
    <xf numFmtId="0" fontId="6" fillId="0" borderId="13" xfId="0" applyFont="1" applyBorder="1" applyAlignment="1" applyProtection="1">
      <alignment horizontal="center" vertical="center"/>
      <protection locked="0"/>
    </xf>
    <xf numFmtId="0" fontId="6" fillId="0" borderId="1" xfId="0" applyFont="1" applyBorder="1" applyAlignment="1" applyProtection="1">
      <alignment vertical="center"/>
      <protection locked="0"/>
    </xf>
    <xf numFmtId="0" fontId="6" fillId="0" borderId="5" xfId="0" applyFont="1" applyBorder="1" applyAlignment="1" applyProtection="1">
      <alignment horizontal="left" vertical="center" wrapText="1"/>
      <protection locked="0"/>
    </xf>
    <xf numFmtId="0" fontId="6" fillId="0" borderId="13" xfId="0" applyFont="1" applyBorder="1" applyAlignment="1" applyProtection="1">
      <alignment horizontal="left" vertical="center" wrapText="1"/>
      <protection locked="0"/>
    </xf>
    <xf numFmtId="0" fontId="6" fillId="7" borderId="1" xfId="0" applyFont="1" applyFill="1" applyBorder="1" applyAlignment="1" applyProtection="1">
      <alignment horizontal="left" vertical="center" wrapText="1"/>
      <protection locked="0"/>
    </xf>
    <xf numFmtId="0" fontId="6" fillId="7" borderId="13" xfId="0" applyFont="1" applyFill="1" applyBorder="1" applyAlignment="1" applyProtection="1">
      <alignment horizontal="left" vertical="center" wrapText="1"/>
      <protection locked="0"/>
    </xf>
    <xf numFmtId="0" fontId="6" fillId="0" borderId="15" xfId="0" applyFont="1" applyBorder="1" applyAlignment="1" applyProtection="1">
      <alignment horizontal="left" vertical="center" wrapText="1"/>
      <protection locked="0"/>
    </xf>
    <xf numFmtId="0" fontId="6" fillId="7" borderId="15" xfId="0" applyFont="1" applyFill="1" applyBorder="1" applyAlignment="1" applyProtection="1">
      <alignment horizontal="left" vertical="center" wrapText="1"/>
      <protection locked="0"/>
    </xf>
    <xf numFmtId="0" fontId="6" fillId="7" borderId="17" xfId="0" applyFont="1" applyFill="1" applyBorder="1" applyAlignment="1" applyProtection="1">
      <alignment horizontal="left" vertical="center" wrapText="1"/>
      <protection locked="0"/>
    </xf>
    <xf numFmtId="0" fontId="6" fillId="0" borderId="4" xfId="0" applyFont="1" applyBorder="1" applyAlignment="1" applyProtection="1">
      <alignment horizontal="left" vertical="center" wrapText="1"/>
      <protection locked="0"/>
    </xf>
    <xf numFmtId="0" fontId="6" fillId="0" borderId="6" xfId="0" applyFont="1" applyBorder="1" applyAlignment="1" applyProtection="1">
      <alignment horizontal="left" vertical="center" wrapText="1"/>
      <protection locked="0"/>
    </xf>
    <xf numFmtId="0" fontId="6" fillId="0" borderId="6" xfId="0" applyFont="1" applyBorder="1" applyAlignment="1" applyProtection="1">
      <alignment horizontal="left" vertical="center"/>
      <protection locked="0"/>
    </xf>
    <xf numFmtId="0" fontId="25" fillId="0" borderId="6" xfId="0" applyFont="1" applyBorder="1" applyAlignment="1" applyProtection="1">
      <alignment horizontal="center" vertical="center" wrapText="1"/>
      <protection locked="0"/>
    </xf>
    <xf numFmtId="0" fontId="25" fillId="0" borderId="6" xfId="0" applyFont="1" applyBorder="1" applyAlignment="1" applyProtection="1">
      <alignment horizontal="center" vertical="center"/>
      <protection locked="0"/>
    </xf>
    <xf numFmtId="0" fontId="25" fillId="0" borderId="5" xfId="0" applyFont="1" applyBorder="1" applyAlignment="1" applyProtection="1">
      <alignment horizontal="center" vertical="center"/>
      <protection locked="0"/>
    </xf>
    <xf numFmtId="0" fontId="6" fillId="0" borderId="1" xfId="0" applyFont="1" applyBorder="1" applyAlignment="1" applyProtection="1">
      <alignment vertical="center" wrapText="1"/>
      <protection locked="0"/>
    </xf>
    <xf numFmtId="0" fontId="6" fillId="0" borderId="4" xfId="0" applyFont="1" applyBorder="1" applyAlignment="1" applyProtection="1">
      <alignment horizontal="center" vertical="center" wrapText="1"/>
      <protection locked="0"/>
    </xf>
    <xf numFmtId="0" fontId="6" fillId="0" borderId="6" xfId="0" applyFont="1" applyBorder="1" applyAlignment="1" applyProtection="1">
      <alignment horizontal="center" vertical="center" wrapText="1"/>
      <protection locked="0"/>
    </xf>
    <xf numFmtId="0" fontId="6" fillId="0" borderId="5" xfId="0" applyFont="1" applyBorder="1" applyAlignment="1" applyProtection="1">
      <alignment horizontal="center" vertical="center" wrapText="1"/>
      <protection locked="0"/>
    </xf>
    <xf numFmtId="0" fontId="6" fillId="0" borderId="21" xfId="0" applyFont="1" applyBorder="1" applyAlignment="1" applyProtection="1">
      <alignment horizontal="left" vertical="center" wrapText="1"/>
      <protection locked="0"/>
    </xf>
    <xf numFmtId="0" fontId="6" fillId="0" borderId="0" xfId="0" applyFont="1" applyAlignment="1" applyProtection="1">
      <alignment horizontal="left" vertical="center"/>
      <protection locked="0"/>
    </xf>
    <xf numFmtId="0" fontId="6" fillId="0" borderId="23" xfId="0" applyFont="1" applyBorder="1" applyAlignment="1" applyProtection="1">
      <alignment horizontal="left" vertical="center"/>
      <protection locked="0"/>
    </xf>
    <xf numFmtId="0" fontId="6" fillId="0" borderId="21" xfId="0" applyFont="1" applyBorder="1" applyAlignment="1" applyProtection="1">
      <alignment horizontal="left" vertical="center"/>
      <protection locked="0"/>
    </xf>
    <xf numFmtId="0" fontId="6" fillId="0" borderId="25" xfId="0" applyFont="1" applyBorder="1" applyAlignment="1" applyProtection="1">
      <alignment horizontal="left" vertical="center"/>
      <protection locked="0"/>
    </xf>
    <xf numFmtId="0" fontId="6" fillId="0" borderId="19" xfId="0" applyFont="1" applyBorder="1" applyAlignment="1" applyProtection="1">
      <alignment horizontal="left" vertical="center"/>
      <protection locked="0"/>
    </xf>
    <xf numFmtId="0" fontId="6" fillId="0" borderId="7" xfId="0" applyFont="1" applyBorder="1" applyAlignment="1" applyProtection="1">
      <alignment horizontal="left" vertical="center"/>
      <protection locked="0"/>
    </xf>
    <xf numFmtId="0" fontId="25" fillId="8" borderId="8" xfId="0" applyFont="1" applyFill="1" applyBorder="1" applyAlignment="1" applyProtection="1">
      <alignment horizontal="center" vertical="center" wrapText="1"/>
      <protection locked="0"/>
    </xf>
    <xf numFmtId="0" fontId="25" fillId="8" borderId="9" xfId="0" applyFont="1" applyFill="1" applyBorder="1" applyAlignment="1" applyProtection="1">
      <alignment horizontal="center" vertical="center"/>
      <protection locked="0"/>
    </xf>
    <xf numFmtId="0" fontId="25" fillId="8" borderId="10" xfId="0" applyFont="1" applyFill="1" applyBorder="1" applyAlignment="1" applyProtection="1">
      <alignment horizontal="center" vertical="center"/>
      <protection locked="0"/>
    </xf>
    <xf numFmtId="0" fontId="25" fillId="0" borderId="5" xfId="0" applyFont="1" applyBorder="1" applyAlignment="1" applyProtection="1">
      <alignment horizontal="center" vertical="center" wrapText="1"/>
      <protection locked="0"/>
    </xf>
    <xf numFmtId="0" fontId="25" fillId="0" borderId="1" xfId="0" applyFont="1" applyBorder="1" applyAlignment="1" applyProtection="1">
      <alignment horizontal="center" vertical="center" wrapText="1"/>
      <protection locked="0"/>
    </xf>
    <xf numFmtId="0" fontId="25" fillId="0" borderId="4" xfId="0" applyFont="1" applyBorder="1" applyAlignment="1" applyProtection="1">
      <alignment horizontal="center" vertical="center" wrapText="1"/>
      <protection locked="0"/>
    </xf>
    <xf numFmtId="0" fontId="25" fillId="7" borderId="27" xfId="0" applyFont="1" applyFill="1" applyBorder="1" applyAlignment="1" applyProtection="1">
      <alignment horizontal="center" vertical="center" wrapText="1"/>
      <protection locked="0"/>
    </xf>
    <xf numFmtId="0" fontId="25" fillId="7" borderId="28" xfId="0" applyFont="1" applyFill="1" applyBorder="1" applyAlignment="1" applyProtection="1">
      <alignment horizontal="center" vertical="center"/>
      <protection locked="0"/>
    </xf>
    <xf numFmtId="0" fontId="25" fillId="0" borderId="30" xfId="0" applyFont="1" applyBorder="1" applyAlignment="1" applyProtection="1">
      <alignment horizontal="center" vertical="center" wrapText="1"/>
      <protection locked="0"/>
    </xf>
    <xf numFmtId="0" fontId="25" fillId="0" borderId="30" xfId="0" applyFont="1" applyBorder="1" applyAlignment="1" applyProtection="1">
      <alignment horizontal="center" vertical="center"/>
      <protection locked="0"/>
    </xf>
    <xf numFmtId="0" fontId="6" fillId="0" borderId="1" xfId="0" quotePrefix="1" applyFont="1" applyBorder="1" applyAlignment="1" applyProtection="1">
      <alignment horizontal="left" vertical="center" wrapText="1"/>
      <protection locked="0"/>
    </xf>
    <xf numFmtId="0" fontId="25" fillId="2" borderId="4" xfId="0" applyFont="1" applyFill="1" applyBorder="1" applyAlignment="1" applyProtection="1">
      <alignment horizontal="center" vertical="center"/>
      <protection locked="0"/>
    </xf>
    <xf numFmtId="0" fontId="25" fillId="2" borderId="6" xfId="0" applyFont="1" applyFill="1" applyBorder="1" applyAlignment="1" applyProtection="1">
      <alignment horizontal="center" vertical="center"/>
      <protection locked="0"/>
    </xf>
    <xf numFmtId="0" fontId="25" fillId="2" borderId="5" xfId="0" applyFont="1" applyFill="1" applyBorder="1" applyAlignment="1" applyProtection="1">
      <alignment horizontal="center" vertical="center"/>
      <protection locked="0"/>
    </xf>
    <xf numFmtId="0" fontId="8" fillId="2" borderId="4" xfId="0" applyFont="1" applyFill="1" applyBorder="1" applyAlignment="1">
      <alignment horizontal="center" vertical="center"/>
    </xf>
    <xf numFmtId="0" fontId="12" fillId="2" borderId="6" xfId="0" applyFont="1" applyFill="1" applyBorder="1" applyAlignment="1">
      <alignment horizontal="center" vertical="center"/>
    </xf>
    <xf numFmtId="0" fontId="12" fillId="2" borderId="5" xfId="0" applyFont="1" applyFill="1" applyBorder="1" applyAlignment="1">
      <alignment horizontal="center" vertical="center"/>
    </xf>
    <xf numFmtId="0" fontId="0" fillId="5" borderId="1" xfId="0" applyFill="1" applyBorder="1" applyAlignment="1">
      <alignment horizontal="center" vertical="center" wrapText="1"/>
    </xf>
    <xf numFmtId="0" fontId="2" fillId="0" borderId="4" xfId="0" applyFont="1" applyBorder="1" applyAlignment="1">
      <alignment horizontal="center" vertical="center"/>
    </xf>
    <xf numFmtId="0" fontId="2" fillId="0" borderId="6" xfId="0" applyFont="1" applyBorder="1" applyAlignment="1">
      <alignment horizontal="center" vertical="center"/>
    </xf>
    <xf numFmtId="0" fontId="2" fillId="0" borderId="5" xfId="0" applyFont="1" applyBorder="1" applyAlignment="1">
      <alignment horizontal="center" vertical="center"/>
    </xf>
    <xf numFmtId="0" fontId="0" fillId="5" borderId="4" xfId="0" applyFill="1" applyBorder="1" applyAlignment="1">
      <alignment horizontal="center" wrapText="1"/>
    </xf>
    <xf numFmtId="0" fontId="0" fillId="5" borderId="5" xfId="0" applyFill="1" applyBorder="1" applyAlignment="1">
      <alignment horizontal="center" wrapText="1"/>
    </xf>
    <xf numFmtId="0" fontId="0" fillId="0" borderId="1" xfId="0" applyBorder="1" applyAlignment="1">
      <alignment horizontal="center" vertical="top" wrapText="1"/>
    </xf>
    <xf numFmtId="0" fontId="0" fillId="0" borderId="4" xfId="0" applyBorder="1" applyAlignment="1">
      <alignment horizontal="center" vertical="center" wrapText="1"/>
    </xf>
    <xf numFmtId="0" fontId="0" fillId="0" borderId="6" xfId="0" applyBorder="1" applyAlignment="1">
      <alignment horizontal="center" vertical="center" wrapText="1"/>
    </xf>
    <xf numFmtId="0" fontId="0" fillId="0" borderId="5" xfId="0" applyBorder="1" applyAlignment="1">
      <alignment horizontal="center" vertical="center" wrapText="1"/>
    </xf>
    <xf numFmtId="0" fontId="0" fillId="0" borderId="24" xfId="0" applyBorder="1" applyAlignment="1">
      <alignment horizontal="center" vertical="center" wrapText="1"/>
    </xf>
    <xf numFmtId="0" fontId="0" fillId="0" borderId="22" xfId="0" applyBorder="1" applyAlignment="1">
      <alignment horizontal="center" vertical="center" wrapText="1"/>
    </xf>
    <xf numFmtId="0" fontId="0" fillId="0" borderId="25" xfId="0" applyBorder="1" applyAlignment="1">
      <alignment horizontal="center" vertical="center" wrapText="1"/>
    </xf>
    <xf numFmtId="0" fontId="0" fillId="0" borderId="7" xfId="0" applyBorder="1" applyAlignment="1">
      <alignment horizontal="center" vertical="center" wrapText="1"/>
    </xf>
    <xf numFmtId="0" fontId="13" fillId="0" borderId="4" xfId="0" applyFont="1" applyBorder="1" applyAlignment="1">
      <alignment horizontal="center"/>
    </xf>
    <xf numFmtId="0" fontId="13" fillId="0" borderId="6" xfId="0" applyFont="1" applyBorder="1" applyAlignment="1">
      <alignment horizontal="center"/>
    </xf>
    <xf numFmtId="0" fontId="13" fillId="0" borderId="5" xfId="0" applyFont="1" applyBorder="1" applyAlignment="1">
      <alignment horizontal="center"/>
    </xf>
    <xf numFmtId="0" fontId="24" fillId="2" borderId="3" xfId="0" applyFont="1" applyFill="1" applyBorder="1" applyAlignment="1">
      <alignment horizontal="left" vertical="center"/>
    </xf>
    <xf numFmtId="0" fontId="24" fillId="2" borderId="1" xfId="0" applyFont="1" applyFill="1" applyBorder="1" applyAlignment="1">
      <alignment horizontal="left" vertical="center"/>
    </xf>
    <xf numFmtId="0" fontId="13" fillId="0" borderId="1" xfId="0" applyFont="1" applyBorder="1" applyAlignment="1">
      <alignment horizontal="left" vertical="center"/>
    </xf>
    <xf numFmtId="0" fontId="24" fillId="2" borderId="1" xfId="0" applyFont="1" applyFill="1" applyBorder="1" applyAlignment="1">
      <alignment horizontal="left" vertical="center" wrapText="1"/>
    </xf>
    <xf numFmtId="0" fontId="27" fillId="0" borderId="19" xfId="0" applyFont="1" applyBorder="1" applyAlignment="1">
      <alignment horizontal="center" vertical="center"/>
    </xf>
    <xf numFmtId="0" fontId="13" fillId="0" borderId="4" xfId="0" applyFont="1" applyBorder="1" applyAlignment="1">
      <alignment horizontal="left" wrapText="1"/>
    </xf>
    <xf numFmtId="0" fontId="13" fillId="0" borderId="6" xfId="0" applyFont="1" applyBorder="1" applyAlignment="1">
      <alignment horizontal="left" wrapText="1"/>
    </xf>
    <xf numFmtId="0" fontId="13" fillId="0" borderId="5" xfId="0" applyFont="1" applyBorder="1" applyAlignment="1">
      <alignment horizontal="left" wrapText="1"/>
    </xf>
    <xf numFmtId="0" fontId="13" fillId="0" borderId="4" xfId="0" applyFont="1" applyBorder="1" applyAlignment="1">
      <alignment horizontal="left" vertical="center"/>
    </xf>
    <xf numFmtId="0" fontId="13" fillId="0" borderId="6" xfId="0" applyFont="1" applyBorder="1" applyAlignment="1">
      <alignment horizontal="left" vertical="center"/>
    </xf>
    <xf numFmtId="0" fontId="13" fillId="0" borderId="5" xfId="0" applyFont="1" applyBorder="1" applyAlignment="1">
      <alignment horizontal="left" vertical="center"/>
    </xf>
    <xf numFmtId="0" fontId="13" fillId="0" borderId="4" xfId="0" applyFont="1" applyBorder="1" applyAlignment="1">
      <alignment horizontal="center" vertical="center" wrapText="1"/>
    </xf>
    <xf numFmtId="0" fontId="13" fillId="0" borderId="5" xfId="0" applyFont="1" applyBorder="1" applyAlignment="1">
      <alignment horizontal="center" vertical="center" wrapText="1"/>
    </xf>
    <xf numFmtId="0" fontId="34" fillId="0" borderId="4" xfId="0" applyFont="1" applyBorder="1" applyAlignment="1">
      <alignment horizontal="center" vertical="top" wrapText="1"/>
    </xf>
    <xf numFmtId="0" fontId="34" fillId="0" borderId="6" xfId="0" applyFont="1" applyBorder="1" applyAlignment="1">
      <alignment horizontal="center" vertical="top" wrapText="1"/>
    </xf>
    <xf numFmtId="0" fontId="25" fillId="0" borderId="6" xfId="0" applyFont="1" applyBorder="1" applyAlignment="1">
      <alignment horizontal="center" vertical="center" wrapText="1"/>
    </xf>
    <xf numFmtId="0" fontId="25" fillId="0" borderId="5" xfId="0" applyFont="1" applyBorder="1" applyAlignment="1">
      <alignment horizontal="center" vertical="center" wrapText="1"/>
    </xf>
    <xf numFmtId="0" fontId="35" fillId="0" borderId="1" xfId="0" applyFont="1" applyBorder="1" applyAlignment="1">
      <alignment horizontal="center" vertical="center"/>
    </xf>
    <xf numFmtId="0" fontId="36" fillId="0" borderId="1" xfId="0" applyFont="1" applyBorder="1" applyAlignment="1">
      <alignment horizontal="center" vertical="center"/>
    </xf>
    <xf numFmtId="0" fontId="7" fillId="0" borderId="1" xfId="0" applyFont="1" applyBorder="1" applyAlignment="1">
      <alignment horizontal="center" vertical="center"/>
    </xf>
    <xf numFmtId="0" fontId="0" fillId="0" borderId="4" xfId="0" applyBorder="1" applyAlignment="1">
      <alignment horizontal="center" vertical="center"/>
    </xf>
    <xf numFmtId="0" fontId="0" fillId="0" borderId="6" xfId="0" applyBorder="1" applyAlignment="1">
      <alignment horizontal="center" vertical="center"/>
    </xf>
    <xf numFmtId="0" fontId="0" fillId="0" borderId="5" xfId="0" applyBorder="1" applyAlignment="1">
      <alignment horizontal="center" vertical="center"/>
    </xf>
    <xf numFmtId="0" fontId="0" fillId="3" borderId="2" xfId="0" applyFill="1" applyBorder="1" applyAlignment="1">
      <alignment horizontal="center" vertical="center"/>
    </xf>
    <xf numFmtId="0" fontId="0" fillId="3" borderId="26" xfId="0" applyFill="1" applyBorder="1" applyAlignment="1">
      <alignment horizontal="center" vertical="center"/>
    </xf>
    <xf numFmtId="0" fontId="0" fillId="3" borderId="3" xfId="0" applyFill="1" applyBorder="1" applyAlignment="1">
      <alignment horizontal="center" vertical="center"/>
    </xf>
    <xf numFmtId="0" fontId="0" fillId="4" borderId="2" xfId="0" applyFill="1" applyBorder="1" applyAlignment="1">
      <alignment horizontal="center" vertical="center"/>
    </xf>
    <xf numFmtId="0" fontId="0" fillId="4" borderId="26" xfId="0" applyFill="1" applyBorder="1" applyAlignment="1">
      <alignment horizontal="center" vertical="center"/>
    </xf>
    <xf numFmtId="0" fontId="0" fillId="4" borderId="3" xfId="0" applyFill="1" applyBorder="1" applyAlignment="1">
      <alignment horizontal="center" vertical="center"/>
    </xf>
    <xf numFmtId="0" fontId="0" fillId="3" borderId="1" xfId="0" applyFill="1" applyBorder="1" applyAlignment="1">
      <alignment horizontal="center" vertical="center"/>
    </xf>
    <xf numFmtId="0" fontId="0" fillId="4" borderId="1" xfId="0" applyFill="1" applyBorder="1" applyAlignment="1">
      <alignment horizontal="center" vertical="center"/>
    </xf>
    <xf numFmtId="0" fontId="0" fillId="3" borderId="2" xfId="0" applyFill="1" applyBorder="1" applyAlignment="1">
      <alignment horizontal="center" vertical="center" wrapText="1"/>
    </xf>
    <xf numFmtId="0" fontId="0" fillId="3" borderId="26" xfId="0" applyFill="1" applyBorder="1" applyAlignment="1">
      <alignment horizontal="center" vertical="center" wrapText="1"/>
    </xf>
    <xf numFmtId="0" fontId="0" fillId="3" borderId="3" xfId="0" applyFill="1" applyBorder="1" applyAlignment="1">
      <alignment horizontal="center" vertical="center" wrapText="1"/>
    </xf>
    <xf numFmtId="0" fontId="0" fillId="4" borderId="2" xfId="0" applyFill="1" applyBorder="1" applyAlignment="1">
      <alignment horizontal="center" vertical="center" wrapText="1"/>
    </xf>
    <xf numFmtId="0" fontId="0" fillId="4" borderId="26" xfId="0" applyFill="1" applyBorder="1" applyAlignment="1">
      <alignment horizontal="center" vertical="center" wrapText="1"/>
    </xf>
    <xf numFmtId="0" fontId="0" fillId="4" borderId="3" xfId="0" applyFill="1" applyBorder="1" applyAlignment="1">
      <alignment horizontal="center" vertical="center" wrapText="1"/>
    </xf>
    <xf numFmtId="0" fontId="0" fillId="0" borderId="0" xfId="0" applyAlignment="1">
      <alignment horizontal="center" vertical="center"/>
    </xf>
    <xf numFmtId="0" fontId="0" fillId="0" borderId="2" xfId="0" applyBorder="1" applyAlignment="1">
      <alignment horizontal="center" vertical="center" wrapText="1"/>
    </xf>
    <xf numFmtId="0" fontId="0" fillId="0" borderId="26" xfId="0" applyBorder="1" applyAlignment="1">
      <alignment horizontal="center" vertical="center" wrapText="1"/>
    </xf>
    <xf numFmtId="0" fontId="0" fillId="0" borderId="3" xfId="0" applyBorder="1" applyAlignment="1">
      <alignment horizontal="center" vertical="center" wrapText="1"/>
    </xf>
    <xf numFmtId="0" fontId="0" fillId="0" borderId="2" xfId="0" applyBorder="1" applyAlignment="1">
      <alignment horizontal="center" vertical="center"/>
    </xf>
    <xf numFmtId="0" fontId="0" fillId="0" borderId="26" xfId="0" applyBorder="1" applyAlignment="1">
      <alignment horizontal="center" vertical="center"/>
    </xf>
    <xf numFmtId="0" fontId="0" fillId="0" borderId="3" xfId="0" applyBorder="1" applyAlignment="1">
      <alignment horizontal="center" vertical="center"/>
    </xf>
    <xf numFmtId="0" fontId="0" fillId="6" borderId="1" xfId="0" applyFill="1" applyBorder="1" applyAlignment="1">
      <alignment horizontal="center" vertical="center"/>
    </xf>
    <xf numFmtId="0" fontId="1" fillId="12" borderId="1" xfId="0" applyFont="1" applyFill="1" applyBorder="1" applyAlignment="1">
      <alignment horizontal="center" vertical="center"/>
    </xf>
    <xf numFmtId="0" fontId="1" fillId="12" borderId="1" xfId="0" applyFont="1" applyFill="1" applyBorder="1" applyAlignment="1">
      <alignment horizontal="center" vertical="center" wrapText="1"/>
    </xf>
    <xf numFmtId="0" fontId="0" fillId="13" borderId="2" xfId="0" applyFill="1" applyBorder="1" applyAlignment="1">
      <alignment horizontal="left" vertical="center" wrapText="1"/>
    </xf>
    <xf numFmtId="0" fontId="0" fillId="13" borderId="3" xfId="0" applyFill="1" applyBorder="1" applyAlignment="1">
      <alignment horizontal="left" vertical="center" wrapText="1"/>
    </xf>
    <xf numFmtId="0" fontId="0" fillId="10" borderId="2" xfId="0" applyFill="1" applyBorder="1" applyAlignment="1">
      <alignment horizontal="left" vertical="center" wrapText="1"/>
    </xf>
    <xf numFmtId="0" fontId="0" fillId="10" borderId="3" xfId="0" applyFill="1" applyBorder="1" applyAlignment="1">
      <alignment horizontal="left" vertical="center" wrapText="1"/>
    </xf>
    <xf numFmtId="0" fontId="0" fillId="10" borderId="3" xfId="0" applyFill="1" applyBorder="1" applyAlignment="1">
      <alignment horizontal="left" vertical="center"/>
    </xf>
    <xf numFmtId="0" fontId="1" fillId="0" borderId="23" xfId="0" applyFont="1" applyBorder="1" applyAlignment="1">
      <alignment horizontal="center" vertical="center" wrapText="1"/>
    </xf>
    <xf numFmtId="0" fontId="1" fillId="0" borderId="7" xfId="0" applyFont="1" applyBorder="1" applyAlignment="1">
      <alignment horizontal="center" vertical="center" wrapText="1"/>
    </xf>
    <xf numFmtId="0" fontId="0" fillId="0" borderId="23" xfId="0" applyBorder="1" applyAlignment="1">
      <alignment horizontal="center" vertical="center"/>
    </xf>
    <xf numFmtId="0" fontId="0" fillId="13" borderId="1" xfId="0" applyFill="1" applyBorder="1" applyAlignment="1">
      <alignment horizontal="left" vertical="center" wrapText="1"/>
    </xf>
    <xf numFmtId="0" fontId="0" fillId="13" borderId="1" xfId="0" applyFill="1" applyBorder="1" applyAlignment="1">
      <alignment horizontal="center" vertical="center" wrapText="1"/>
    </xf>
    <xf numFmtId="0" fontId="0" fillId="7" borderId="2" xfId="0" applyFill="1" applyBorder="1" applyAlignment="1">
      <alignment horizontal="left" vertical="center" wrapText="1"/>
    </xf>
    <xf numFmtId="0" fontId="0" fillId="7" borderId="3" xfId="0" applyFill="1" applyBorder="1" applyAlignment="1">
      <alignment horizontal="left" vertical="center" wrapText="1"/>
    </xf>
    <xf numFmtId="0" fontId="30" fillId="0" borderId="1" xfId="0" applyFont="1" applyBorder="1" applyAlignment="1">
      <alignment horizontal="center" vertical="center"/>
    </xf>
    <xf numFmtId="0" fontId="1" fillId="0" borderId="1" xfId="0" applyFont="1" applyBorder="1" applyAlignment="1">
      <alignment horizontal="center" vertical="center"/>
    </xf>
    <xf numFmtId="0" fontId="0" fillId="7" borderId="1" xfId="0" applyFill="1" applyBorder="1" applyAlignment="1">
      <alignment horizontal="center" vertical="center" wrapText="1"/>
    </xf>
    <xf numFmtId="0" fontId="29" fillId="0" borderId="1" xfId="0" applyFont="1" applyBorder="1" applyAlignment="1">
      <alignment horizontal="center" vertical="center"/>
    </xf>
    <xf numFmtId="0" fontId="1" fillId="0" borderId="1" xfId="0" applyFont="1" applyBorder="1" applyAlignment="1">
      <alignment horizontal="center" vertical="center" wrapText="1"/>
    </xf>
    <xf numFmtId="0" fontId="0" fillId="7" borderId="1" xfId="0" applyFill="1" applyBorder="1" applyAlignment="1">
      <alignment horizontal="left" vertical="center" wrapText="1"/>
    </xf>
    <xf numFmtId="0" fontId="1" fillId="0" borderId="2" xfId="0" applyFont="1" applyBorder="1" applyAlignment="1">
      <alignment horizontal="center" vertical="center" wrapText="1"/>
    </xf>
    <xf numFmtId="0" fontId="1" fillId="0" borderId="26" xfId="0" applyFont="1" applyBorder="1" applyAlignment="1">
      <alignment horizontal="center" vertical="center" wrapText="1"/>
    </xf>
    <xf numFmtId="0" fontId="1" fillId="0" borderId="3" xfId="0" applyFont="1" applyBorder="1" applyAlignment="1">
      <alignment horizontal="center" vertical="center" wrapText="1"/>
    </xf>
    <xf numFmtId="0" fontId="0" fillId="0" borderId="4" xfId="0" applyBorder="1" applyAlignment="1">
      <alignment vertical="center" wrapText="1"/>
    </xf>
    <xf numFmtId="0" fontId="0" fillId="0" borderId="6" xfId="0" applyBorder="1" applyAlignment="1">
      <alignment vertical="center" wrapText="1"/>
    </xf>
    <xf numFmtId="0" fontId="0" fillId="0" borderId="5" xfId="0" applyBorder="1" applyAlignment="1">
      <alignment vertical="center" wrapText="1"/>
    </xf>
    <xf numFmtId="0" fontId="0" fillId="0" borderId="0" xfId="0" quotePrefix="1" applyAlignment="1">
      <alignment horizontal="center" vertical="center" wrapText="1"/>
    </xf>
    <xf numFmtId="0" fontId="2" fillId="0" borderId="4" xfId="0" applyFont="1" applyBorder="1" applyAlignment="1">
      <alignment vertical="center" wrapText="1"/>
    </xf>
    <xf numFmtId="0" fontId="2" fillId="0" borderId="6" xfId="0" applyFont="1" applyBorder="1" applyAlignment="1">
      <alignment vertical="center" wrapText="1"/>
    </xf>
    <xf numFmtId="0" fontId="2" fillId="0" borderId="5" xfId="0" applyFont="1" applyBorder="1" applyAlignment="1">
      <alignment vertical="center" wrapText="1"/>
    </xf>
    <xf numFmtId="0" fontId="0" fillId="0" borderId="4" xfId="0" applyBorder="1" applyAlignment="1">
      <alignment horizontal="center"/>
    </xf>
    <xf numFmtId="0" fontId="0" fillId="0" borderId="6" xfId="0" applyBorder="1" applyAlignment="1">
      <alignment horizontal="center"/>
    </xf>
    <xf numFmtId="0" fontId="0" fillId="0" borderId="5" xfId="0" applyBorder="1" applyAlignment="1">
      <alignment horizontal="center"/>
    </xf>
    <xf numFmtId="0" fontId="0" fillId="7" borderId="1" xfId="0" applyFill="1" applyBorder="1" applyAlignment="1">
      <alignment horizontal="center" vertical="center"/>
    </xf>
    <xf numFmtId="0" fontId="0" fillId="13" borderId="1" xfId="0" applyFill="1" applyBorder="1" applyAlignment="1">
      <alignment horizontal="center" vertical="center"/>
    </xf>
    <xf numFmtId="0" fontId="0" fillId="2" borderId="1" xfId="0" applyFill="1" applyBorder="1" applyAlignment="1">
      <alignment horizontal="center"/>
    </xf>
    <xf numFmtId="0" fontId="31" fillId="0" borderId="2" xfId="0" applyFont="1" applyBorder="1" applyAlignment="1">
      <alignment horizontal="center" vertical="center" wrapText="1"/>
    </xf>
    <xf numFmtId="0" fontId="31" fillId="0" borderId="3" xfId="0" applyFont="1" applyBorder="1" applyAlignment="1">
      <alignment horizontal="center" vertical="center" wrapText="1"/>
    </xf>
    <xf numFmtId="0" fontId="6" fillId="0" borderId="1" xfId="0" applyFont="1" applyBorder="1" applyAlignment="1">
      <alignment horizontal="left" vertical="center" wrapText="1"/>
    </xf>
    <xf numFmtId="0" fontId="6" fillId="0" borderId="1" xfId="0" applyFont="1" applyBorder="1" applyAlignment="1">
      <alignment horizontal="center" vertical="center" wrapText="1"/>
    </xf>
    <xf numFmtId="0" fontId="6" fillId="0" borderId="1" xfId="0" applyFont="1" applyBorder="1" applyAlignment="1">
      <alignment horizontal="center" vertical="center"/>
    </xf>
    <xf numFmtId="0" fontId="6" fillId="0" borderId="24" xfId="0" applyFont="1" applyBorder="1" applyAlignment="1">
      <alignment horizontal="center" vertical="center" wrapText="1"/>
    </xf>
    <xf numFmtId="0" fontId="6" fillId="0" borderId="22" xfId="0" applyFont="1" applyBorder="1" applyAlignment="1">
      <alignment horizontal="center" vertical="center" wrapText="1"/>
    </xf>
    <xf numFmtId="0" fontId="6" fillId="0" borderId="25" xfId="0" applyFont="1" applyBorder="1" applyAlignment="1">
      <alignment horizontal="center" vertical="center" wrapText="1"/>
    </xf>
    <xf numFmtId="0" fontId="6" fillId="0" borderId="7" xfId="0" applyFont="1" applyBorder="1" applyAlignment="1">
      <alignment horizontal="center" vertical="center" wrapText="1"/>
    </xf>
    <xf numFmtId="0" fontId="31" fillId="0" borderId="2" xfId="0" applyFont="1" applyBorder="1" applyAlignment="1">
      <alignment horizontal="center" vertical="center"/>
    </xf>
    <xf numFmtId="0" fontId="31" fillId="0" borderId="3" xfId="0" applyFont="1" applyBorder="1" applyAlignment="1">
      <alignment horizontal="center" vertical="center"/>
    </xf>
    <xf numFmtId="0" fontId="25" fillId="0" borderId="19" xfId="0" applyFont="1" applyBorder="1" applyAlignment="1">
      <alignment horizontal="center" vertical="center" wrapText="1"/>
    </xf>
    <xf numFmtId="0" fontId="6" fillId="0" borderId="6" xfId="0" applyFont="1" applyBorder="1" applyAlignment="1">
      <alignment horizontal="center" vertical="center" wrapText="1"/>
    </xf>
    <xf numFmtId="0" fontId="6" fillId="0" borderId="5" xfId="0" applyFont="1" applyBorder="1" applyAlignment="1">
      <alignment horizontal="center" vertical="center" wrapText="1"/>
    </xf>
    <xf numFmtId="0" fontId="6" fillId="0" borderId="4" xfId="0" applyFont="1" applyBorder="1" applyAlignment="1">
      <alignment horizontal="center" vertical="center" wrapText="1"/>
    </xf>
    <xf numFmtId="0" fontId="6" fillId="0" borderId="4" xfId="0" applyFont="1" applyBorder="1" applyAlignment="1">
      <alignment horizontal="left" vertical="center" wrapText="1"/>
    </xf>
    <xf numFmtId="0" fontId="6" fillId="0" borderId="6" xfId="0" applyFont="1" applyBorder="1" applyAlignment="1">
      <alignment horizontal="left" vertical="center" wrapText="1"/>
    </xf>
    <xf numFmtId="0" fontId="6" fillId="0" borderId="5" xfId="0" applyFont="1" applyBorder="1" applyAlignment="1">
      <alignment horizontal="left" vertical="center" wrapText="1"/>
    </xf>
    <xf numFmtId="0" fontId="6" fillId="9" borderId="4" xfId="0" applyFont="1" applyFill="1" applyBorder="1" applyAlignment="1">
      <alignment horizontal="center" vertical="center" wrapText="1"/>
    </xf>
    <xf numFmtId="0" fontId="6" fillId="9" borderId="6" xfId="0" applyFont="1" applyFill="1" applyBorder="1" applyAlignment="1">
      <alignment horizontal="center" vertical="center" wrapText="1"/>
    </xf>
    <xf numFmtId="0" fontId="13" fillId="0" borderId="4" xfId="0" quotePrefix="1" applyFont="1" applyBorder="1" applyAlignment="1">
      <alignment vertical="center" wrapText="1"/>
    </xf>
    <xf numFmtId="0" fontId="13" fillId="0" borderId="5" xfId="0" quotePrefix="1" applyFont="1" applyBorder="1" applyAlignment="1">
      <alignment vertical="center" wrapText="1"/>
    </xf>
    <xf numFmtId="0" fontId="13" fillId="0" borderId="2" xfId="0" applyFont="1" applyBorder="1" applyAlignment="1">
      <alignment horizontal="center" vertical="center"/>
    </xf>
    <xf numFmtId="0" fontId="13" fillId="0" borderId="26" xfId="0" applyFont="1" applyBorder="1" applyAlignment="1">
      <alignment horizontal="center" vertical="center"/>
    </xf>
    <xf numFmtId="0" fontId="13" fillId="0" borderId="3" xfId="0" applyFont="1" applyBorder="1" applyAlignment="1">
      <alignment horizontal="center" vertical="center"/>
    </xf>
    <xf numFmtId="0" fontId="13" fillId="4" borderId="2" xfId="0" applyFont="1" applyFill="1" applyBorder="1" applyAlignment="1">
      <alignment horizontal="center" vertical="center"/>
    </xf>
    <xf numFmtId="0" fontId="13" fillId="4" borderId="26" xfId="0" applyFont="1" applyFill="1" applyBorder="1" applyAlignment="1">
      <alignment horizontal="center" vertical="center"/>
    </xf>
    <xf numFmtId="0" fontId="13" fillId="4" borderId="3" xfId="0" applyFont="1" applyFill="1" applyBorder="1" applyAlignment="1">
      <alignment horizontal="center" vertical="center"/>
    </xf>
    <xf numFmtId="0" fontId="28" fillId="0" borderId="1" xfId="0" applyFont="1" applyBorder="1" applyAlignment="1">
      <alignment horizontal="center" vertical="center"/>
    </xf>
    <xf numFmtId="0" fontId="13" fillId="4" borderId="4" xfId="0" applyFont="1" applyFill="1" applyBorder="1" applyAlignment="1">
      <alignment horizontal="center" vertical="center" wrapText="1"/>
    </xf>
    <xf numFmtId="0" fontId="13" fillId="4" borderId="5" xfId="0" applyFont="1" applyFill="1" applyBorder="1" applyAlignment="1">
      <alignment horizontal="center" vertical="center" wrapText="1"/>
    </xf>
    <xf numFmtId="0" fontId="13" fillId="0" borderId="2" xfId="0" quotePrefix="1" applyFont="1" applyBorder="1" applyAlignment="1">
      <alignment horizontal="left" vertical="center" wrapText="1"/>
    </xf>
    <xf numFmtId="0" fontId="13" fillId="0" borderId="3" xfId="0" quotePrefix="1" applyFont="1" applyBorder="1" applyAlignment="1">
      <alignment horizontal="left" vertical="center" wrapText="1"/>
    </xf>
    <xf numFmtId="0" fontId="13" fillId="0" borderId="4" xfId="0" quotePrefix="1" applyFont="1" applyBorder="1" applyAlignment="1">
      <alignment horizontal="left" vertical="center" wrapText="1"/>
    </xf>
    <xf numFmtId="0" fontId="13" fillId="0" borderId="5" xfId="0" quotePrefix="1" applyFont="1" applyBorder="1" applyAlignment="1">
      <alignment horizontal="left" vertical="center" wrapText="1"/>
    </xf>
    <xf numFmtId="0" fontId="13" fillId="0" borderId="1" xfId="0" applyFont="1" applyBorder="1" applyAlignment="1">
      <alignment horizontal="center" vertical="center" wrapText="1"/>
    </xf>
    <xf numFmtId="0" fontId="13" fillId="0" borderId="4" xfId="0" quotePrefix="1" applyFont="1" applyBorder="1" applyAlignment="1">
      <alignment horizontal="center" vertical="center" wrapText="1"/>
    </xf>
    <xf numFmtId="0" fontId="13" fillId="0" borderId="5" xfId="0" quotePrefix="1" applyFont="1" applyBorder="1" applyAlignment="1">
      <alignment horizontal="center" vertical="center" wrapText="1"/>
    </xf>
    <xf numFmtId="0" fontId="13" fillId="0" borderId="2" xfId="0" applyFont="1" applyBorder="1" applyAlignment="1">
      <alignment horizontal="left" vertical="center" wrapText="1"/>
    </xf>
    <xf numFmtId="0" fontId="13" fillId="0" borderId="3" xfId="0" applyFont="1" applyBorder="1" applyAlignment="1">
      <alignment horizontal="left" vertical="center" wrapText="1"/>
    </xf>
    <xf numFmtId="0" fontId="13" fillId="0" borderId="26" xfId="0" applyFont="1" applyBorder="1" applyAlignment="1">
      <alignment horizontal="left" vertical="center" wrapText="1"/>
    </xf>
    <xf numFmtId="0" fontId="16" fillId="0" borderId="2" xfId="0" quotePrefix="1" applyFont="1" applyBorder="1" applyAlignment="1">
      <alignment horizontal="left" vertical="center" wrapText="1"/>
    </xf>
    <xf numFmtId="0" fontId="16" fillId="0" borderId="3" xfId="0" quotePrefix="1" applyFont="1" applyBorder="1" applyAlignment="1">
      <alignment horizontal="left" vertical="center" wrapText="1"/>
    </xf>
    <xf numFmtId="0" fontId="16" fillId="0" borderId="2" xfId="0" applyFont="1" applyBorder="1" applyAlignment="1">
      <alignment horizontal="left" vertical="center" wrapText="1"/>
    </xf>
    <xf numFmtId="0" fontId="16" fillId="0" borderId="3" xfId="0" applyFont="1" applyBorder="1" applyAlignment="1">
      <alignment horizontal="left" vertical="center" wrapText="1"/>
    </xf>
    <xf numFmtId="0" fontId="16" fillId="0" borderId="26" xfId="0" quotePrefix="1" applyFont="1" applyBorder="1" applyAlignment="1">
      <alignment horizontal="left" vertical="center" wrapText="1"/>
    </xf>
    <xf numFmtId="0" fontId="0" fillId="3" borderId="1" xfId="0" applyFill="1" applyBorder="1" applyAlignment="1">
      <alignment horizontal="center" vertical="center" wrapText="1"/>
    </xf>
    <xf numFmtId="0" fontId="0" fillId="0" borderId="0" xfId="0" quotePrefix="1" applyAlignment="1">
      <alignment horizontal="left" vertical="center"/>
    </xf>
    <xf numFmtId="0" fontId="0" fillId="0" borderId="20" xfId="0" applyBorder="1" applyAlignment="1">
      <alignment horizontal="center" wrapText="1"/>
    </xf>
  </cellXfs>
  <cellStyles count="3">
    <cellStyle name="Currency" xfId="1" builtinId="4"/>
    <cellStyle name="Normal" xfId="0" builtinId="0"/>
    <cellStyle name="Percent" xfId="2"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6" Type="http://schemas.openxmlformats.org/officeDocument/2006/relationships/image" Target="../media/image59.png"/><Relationship Id="rId5" Type="http://schemas.openxmlformats.org/officeDocument/2006/relationships/image" Target="../media/image58.png"/><Relationship Id="rId4" Type="http://schemas.openxmlformats.org/officeDocument/2006/relationships/image" Target="../media/image57.png"/></Relationships>
</file>

<file path=xl/drawings/_rels/drawing11.xml.rels><?xml version="1.0" encoding="UTF-8" standalone="yes"?>
<Relationships xmlns="http://schemas.openxmlformats.org/package/2006/relationships"><Relationship Id="rId8" Type="http://schemas.openxmlformats.org/officeDocument/2006/relationships/image" Target="../media/image67.png"/><Relationship Id="rId13" Type="http://schemas.openxmlformats.org/officeDocument/2006/relationships/image" Target="../media/image72.png"/><Relationship Id="rId18" Type="http://schemas.openxmlformats.org/officeDocument/2006/relationships/image" Target="../media/image77.png"/><Relationship Id="rId26" Type="http://schemas.openxmlformats.org/officeDocument/2006/relationships/image" Target="../media/image85.png"/><Relationship Id="rId3" Type="http://schemas.openxmlformats.org/officeDocument/2006/relationships/image" Target="../media/image62.png"/><Relationship Id="rId21" Type="http://schemas.openxmlformats.org/officeDocument/2006/relationships/image" Target="../media/image80.png"/><Relationship Id="rId34" Type="http://schemas.openxmlformats.org/officeDocument/2006/relationships/image" Target="../media/image93.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5" Type="http://schemas.openxmlformats.org/officeDocument/2006/relationships/image" Target="../media/image84.png"/><Relationship Id="rId33" Type="http://schemas.openxmlformats.org/officeDocument/2006/relationships/image" Target="../media/image92.png"/><Relationship Id="rId2" Type="http://schemas.openxmlformats.org/officeDocument/2006/relationships/image" Target="../media/image61.png"/><Relationship Id="rId16" Type="http://schemas.openxmlformats.org/officeDocument/2006/relationships/image" Target="../media/image75.png"/><Relationship Id="rId20" Type="http://schemas.openxmlformats.org/officeDocument/2006/relationships/image" Target="../media/image79.png"/><Relationship Id="rId29" Type="http://schemas.openxmlformats.org/officeDocument/2006/relationships/image" Target="../media/image88.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24" Type="http://schemas.openxmlformats.org/officeDocument/2006/relationships/image" Target="../media/image83.png"/><Relationship Id="rId32" Type="http://schemas.openxmlformats.org/officeDocument/2006/relationships/image" Target="../media/image91.png"/><Relationship Id="rId5" Type="http://schemas.openxmlformats.org/officeDocument/2006/relationships/image" Target="../media/image64.png"/><Relationship Id="rId15" Type="http://schemas.openxmlformats.org/officeDocument/2006/relationships/image" Target="../media/image74.png"/><Relationship Id="rId23" Type="http://schemas.openxmlformats.org/officeDocument/2006/relationships/image" Target="../media/image82.png"/><Relationship Id="rId28" Type="http://schemas.openxmlformats.org/officeDocument/2006/relationships/image" Target="../media/image87.png"/><Relationship Id="rId36" Type="http://schemas.openxmlformats.org/officeDocument/2006/relationships/image" Target="../media/image95.png"/><Relationship Id="rId10" Type="http://schemas.openxmlformats.org/officeDocument/2006/relationships/image" Target="../media/image69.png"/><Relationship Id="rId19" Type="http://schemas.openxmlformats.org/officeDocument/2006/relationships/image" Target="../media/image78.png"/><Relationship Id="rId31" Type="http://schemas.openxmlformats.org/officeDocument/2006/relationships/image" Target="../media/image90.pn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 Id="rId22" Type="http://schemas.openxmlformats.org/officeDocument/2006/relationships/image" Target="../media/image81.png"/><Relationship Id="rId27" Type="http://schemas.openxmlformats.org/officeDocument/2006/relationships/image" Target="../media/image86.png"/><Relationship Id="rId30" Type="http://schemas.openxmlformats.org/officeDocument/2006/relationships/image" Target="../media/image89.png"/><Relationship Id="rId35" Type="http://schemas.openxmlformats.org/officeDocument/2006/relationships/image" Target="../media/image9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98.png"/><Relationship Id="rId7" Type="http://schemas.openxmlformats.org/officeDocument/2006/relationships/image" Target="../media/image101.png"/><Relationship Id="rId2" Type="http://schemas.openxmlformats.org/officeDocument/2006/relationships/image" Target="../media/image97.png"/><Relationship Id="rId1" Type="http://schemas.openxmlformats.org/officeDocument/2006/relationships/image" Target="../media/image96.png"/><Relationship Id="rId6" Type="http://schemas.openxmlformats.org/officeDocument/2006/relationships/image" Target="../media/image100.png"/><Relationship Id="rId5" Type="http://schemas.openxmlformats.org/officeDocument/2006/relationships/image" Target="../media/image23.png"/><Relationship Id="rId4" Type="http://schemas.openxmlformats.org/officeDocument/2006/relationships/image" Target="../media/image99.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04.png"/><Relationship Id="rId2" Type="http://schemas.openxmlformats.org/officeDocument/2006/relationships/image" Target="../media/image103.png"/><Relationship Id="rId1" Type="http://schemas.openxmlformats.org/officeDocument/2006/relationships/image" Target="../media/image102.png"/></Relationships>
</file>

<file path=xl/drawings/_rels/drawing2.xml.rels><?xml version="1.0" encoding="UTF-8" standalone="yes"?>
<Relationships xmlns="http://schemas.openxmlformats.org/package/2006/relationships"><Relationship Id="rId8" Type="http://schemas.openxmlformats.org/officeDocument/2006/relationships/image" Target="../media/image17.png"/><Relationship Id="rId3" Type="http://schemas.openxmlformats.org/officeDocument/2006/relationships/image" Target="../media/image12.png"/><Relationship Id="rId7" Type="http://schemas.openxmlformats.org/officeDocument/2006/relationships/image" Target="../media/image16.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 Id="rId9" Type="http://schemas.openxmlformats.org/officeDocument/2006/relationships/image" Target="../media/image18.png"/></Relationships>
</file>

<file path=xl/drawings/_rels/drawing3.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20.png"/><Relationship Id="rId1" Type="http://schemas.openxmlformats.org/officeDocument/2006/relationships/image" Target="../media/image19.png"/><Relationship Id="rId4" Type="http://schemas.openxmlformats.org/officeDocument/2006/relationships/image" Target="../media/image22.png"/></Relationships>
</file>

<file path=xl/drawings/_rels/drawing4.xml.rels><?xml version="1.0" encoding="UTF-8" standalone="yes"?>
<Relationships xmlns="http://schemas.openxmlformats.org/package/2006/relationships"><Relationship Id="rId1" Type="http://schemas.openxmlformats.org/officeDocument/2006/relationships/image" Target="../media/image2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13.png"/></Relationships>
</file>

<file path=xl/drawings/_rels/drawing6.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17.png"/><Relationship Id="rId1" Type="http://schemas.openxmlformats.org/officeDocument/2006/relationships/image" Target="../media/image25.png"/><Relationship Id="rId5" Type="http://schemas.openxmlformats.org/officeDocument/2006/relationships/image" Target="../media/image16.png"/><Relationship Id="rId4" Type="http://schemas.openxmlformats.org/officeDocument/2006/relationships/image" Target="../media/image18.png"/></Relationships>
</file>

<file path=xl/drawings/_rels/drawing7.xml.rels><?xml version="1.0" encoding="UTF-8" standalone="yes"?>
<Relationships xmlns="http://schemas.openxmlformats.org/package/2006/relationships"><Relationship Id="rId8" Type="http://schemas.openxmlformats.org/officeDocument/2006/relationships/image" Target="../media/image33.png"/><Relationship Id="rId3" Type="http://schemas.openxmlformats.org/officeDocument/2006/relationships/image" Target="../media/image28.png"/><Relationship Id="rId7" Type="http://schemas.openxmlformats.org/officeDocument/2006/relationships/image" Target="../media/image32.png"/><Relationship Id="rId12" Type="http://schemas.openxmlformats.org/officeDocument/2006/relationships/image" Target="../media/image37.png"/><Relationship Id="rId2" Type="http://schemas.openxmlformats.org/officeDocument/2006/relationships/image" Target="../media/image27.png"/><Relationship Id="rId1" Type="http://schemas.openxmlformats.org/officeDocument/2006/relationships/image" Target="../media/image16.png"/><Relationship Id="rId6" Type="http://schemas.openxmlformats.org/officeDocument/2006/relationships/image" Target="../media/image31.png"/><Relationship Id="rId11" Type="http://schemas.openxmlformats.org/officeDocument/2006/relationships/image" Target="../media/image36.png"/><Relationship Id="rId5" Type="http://schemas.openxmlformats.org/officeDocument/2006/relationships/image" Target="../media/image30.png"/><Relationship Id="rId10" Type="http://schemas.openxmlformats.org/officeDocument/2006/relationships/image" Target="../media/image35.png"/><Relationship Id="rId4" Type="http://schemas.openxmlformats.org/officeDocument/2006/relationships/image" Target="../media/image29.png"/><Relationship Id="rId9" Type="http://schemas.openxmlformats.org/officeDocument/2006/relationships/image" Target="../media/image34.png"/></Relationships>
</file>

<file path=xl/drawings/_rels/drawing8.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 Id="rId4" Type="http://schemas.openxmlformats.org/officeDocument/2006/relationships/image" Target="../media/image41.png"/></Relationships>
</file>

<file path=xl/drawings/_rels/drawing9.xml.rels><?xml version="1.0" encoding="UTF-8" standalone="yes"?>
<Relationships xmlns="http://schemas.openxmlformats.org/package/2006/relationships"><Relationship Id="rId8" Type="http://schemas.openxmlformats.org/officeDocument/2006/relationships/image" Target="../media/image49.png"/><Relationship Id="rId3" Type="http://schemas.openxmlformats.org/officeDocument/2006/relationships/image" Target="../media/image44.png"/><Relationship Id="rId7" Type="http://schemas.openxmlformats.org/officeDocument/2006/relationships/image" Target="../media/image48.png"/><Relationship Id="rId12" Type="http://schemas.openxmlformats.org/officeDocument/2006/relationships/image" Target="../media/image53.png"/><Relationship Id="rId2" Type="http://schemas.openxmlformats.org/officeDocument/2006/relationships/image" Target="../media/image43.png"/><Relationship Id="rId1" Type="http://schemas.openxmlformats.org/officeDocument/2006/relationships/image" Target="../media/image42.png"/><Relationship Id="rId6" Type="http://schemas.openxmlformats.org/officeDocument/2006/relationships/image" Target="../media/image47.png"/><Relationship Id="rId11" Type="http://schemas.openxmlformats.org/officeDocument/2006/relationships/image" Target="../media/image52.png"/><Relationship Id="rId5" Type="http://schemas.openxmlformats.org/officeDocument/2006/relationships/image" Target="../media/image46.png"/><Relationship Id="rId10" Type="http://schemas.openxmlformats.org/officeDocument/2006/relationships/image" Target="../media/image51.png"/><Relationship Id="rId4" Type="http://schemas.openxmlformats.org/officeDocument/2006/relationships/image" Target="../media/image45.png"/><Relationship Id="rId9" Type="http://schemas.openxmlformats.org/officeDocument/2006/relationships/image" Target="../media/image50.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4.emf"/></Relationships>
</file>

<file path=xl/drawings/drawing1.xml><?xml version="1.0" encoding="utf-8"?>
<xdr:wsDr xmlns:xdr="http://schemas.openxmlformats.org/drawingml/2006/spreadsheetDrawing" xmlns:a="http://schemas.openxmlformats.org/drawingml/2006/main">
  <xdr:twoCellAnchor editAs="oneCell">
    <xdr:from>
      <xdr:col>7</xdr:col>
      <xdr:colOff>542925</xdr:colOff>
      <xdr:row>4</xdr:row>
      <xdr:rowOff>28575</xdr:rowOff>
    </xdr:from>
    <xdr:to>
      <xdr:col>16</xdr:col>
      <xdr:colOff>361232</xdr:colOff>
      <xdr:row>9</xdr:row>
      <xdr:rowOff>123694</xdr:rowOff>
    </xdr:to>
    <xdr:pic>
      <xdr:nvPicPr>
        <xdr:cNvPr id="3" name="Picture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6534150" y="790575"/>
          <a:ext cx="5742857" cy="1047619"/>
        </a:xfrm>
        <a:prstGeom prst="rect">
          <a:avLst/>
        </a:prstGeom>
      </xdr:spPr>
    </xdr:pic>
    <xdr:clientData/>
  </xdr:twoCellAnchor>
  <xdr:twoCellAnchor editAs="oneCell">
    <xdr:from>
      <xdr:col>7</xdr:col>
      <xdr:colOff>600075</xdr:colOff>
      <xdr:row>9</xdr:row>
      <xdr:rowOff>150014</xdr:rowOff>
    </xdr:from>
    <xdr:to>
      <xdr:col>16</xdr:col>
      <xdr:colOff>361950</xdr:colOff>
      <xdr:row>15</xdr:row>
      <xdr:rowOff>183089</xdr:rowOff>
    </xdr:to>
    <xdr:pic>
      <xdr:nvPicPr>
        <xdr:cNvPr id="4" name="Picture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6591300" y="1864514"/>
          <a:ext cx="5686425" cy="1176075"/>
        </a:xfrm>
        <a:prstGeom prst="rect">
          <a:avLst/>
        </a:prstGeom>
      </xdr:spPr>
    </xdr:pic>
    <xdr:clientData/>
  </xdr:twoCellAnchor>
  <xdr:twoCellAnchor editAs="oneCell">
    <xdr:from>
      <xdr:col>17</xdr:col>
      <xdr:colOff>47625</xdr:colOff>
      <xdr:row>3</xdr:row>
      <xdr:rowOff>178632</xdr:rowOff>
    </xdr:from>
    <xdr:to>
      <xdr:col>29</xdr:col>
      <xdr:colOff>55470</xdr:colOff>
      <xdr:row>11</xdr:row>
      <xdr:rowOff>9214</xdr:rowOff>
    </xdr:to>
    <xdr:pic>
      <xdr:nvPicPr>
        <xdr:cNvPr id="5" name="Picture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3"/>
        <a:stretch>
          <a:fillRect/>
        </a:stretch>
      </xdr:blipFill>
      <xdr:spPr>
        <a:xfrm>
          <a:off x="12382500" y="750132"/>
          <a:ext cx="7323045" cy="1354582"/>
        </a:xfrm>
        <a:prstGeom prst="rect">
          <a:avLst/>
        </a:prstGeom>
      </xdr:spPr>
    </xdr:pic>
    <xdr:clientData/>
  </xdr:twoCellAnchor>
  <xdr:twoCellAnchor editAs="oneCell">
    <xdr:from>
      <xdr:col>8</xdr:col>
      <xdr:colOff>104775</xdr:colOff>
      <xdr:row>29</xdr:row>
      <xdr:rowOff>47625</xdr:rowOff>
    </xdr:from>
    <xdr:to>
      <xdr:col>13</xdr:col>
      <xdr:colOff>56751</xdr:colOff>
      <xdr:row>33</xdr:row>
      <xdr:rowOff>152292</xdr:rowOff>
    </xdr:to>
    <xdr:pic>
      <xdr:nvPicPr>
        <xdr:cNvPr id="6" name="Picture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4"/>
        <a:stretch>
          <a:fillRect/>
        </a:stretch>
      </xdr:blipFill>
      <xdr:spPr>
        <a:xfrm>
          <a:off x="6705600" y="5572125"/>
          <a:ext cx="3190476" cy="866667"/>
        </a:xfrm>
        <a:prstGeom prst="rect">
          <a:avLst/>
        </a:prstGeom>
      </xdr:spPr>
    </xdr:pic>
    <xdr:clientData/>
  </xdr:twoCellAnchor>
  <xdr:twoCellAnchor editAs="oneCell">
    <xdr:from>
      <xdr:col>8</xdr:col>
      <xdr:colOff>85725</xdr:colOff>
      <xdr:row>34</xdr:row>
      <xdr:rowOff>133350</xdr:rowOff>
    </xdr:from>
    <xdr:to>
      <xdr:col>11</xdr:col>
      <xdr:colOff>428330</xdr:colOff>
      <xdr:row>38</xdr:row>
      <xdr:rowOff>95160</xdr:rowOff>
    </xdr:to>
    <xdr:pic>
      <xdr:nvPicPr>
        <xdr:cNvPr id="7" name="Picture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5"/>
        <a:stretch>
          <a:fillRect/>
        </a:stretch>
      </xdr:blipFill>
      <xdr:spPr>
        <a:xfrm>
          <a:off x="6686550" y="6610350"/>
          <a:ext cx="2361905" cy="723810"/>
        </a:xfrm>
        <a:prstGeom prst="rect">
          <a:avLst/>
        </a:prstGeom>
      </xdr:spPr>
    </xdr:pic>
    <xdr:clientData/>
  </xdr:twoCellAnchor>
  <xdr:twoCellAnchor editAs="oneCell">
    <xdr:from>
      <xdr:col>17</xdr:col>
      <xdr:colOff>85725</xdr:colOff>
      <xdr:row>22</xdr:row>
      <xdr:rowOff>55051</xdr:rowOff>
    </xdr:from>
    <xdr:to>
      <xdr:col>20</xdr:col>
      <xdr:colOff>571500</xdr:colOff>
      <xdr:row>31</xdr:row>
      <xdr:rowOff>66675</xdr:rowOff>
    </xdr:to>
    <xdr:pic>
      <xdr:nvPicPr>
        <xdr:cNvPr id="8" name="Picture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6"/>
        <a:stretch>
          <a:fillRect/>
        </a:stretch>
      </xdr:blipFill>
      <xdr:spPr>
        <a:xfrm>
          <a:off x="12611100" y="4246051"/>
          <a:ext cx="2314575" cy="1726124"/>
        </a:xfrm>
        <a:prstGeom prst="rect">
          <a:avLst/>
        </a:prstGeom>
      </xdr:spPr>
    </xdr:pic>
    <xdr:clientData/>
  </xdr:twoCellAnchor>
  <xdr:twoCellAnchor editAs="oneCell">
    <xdr:from>
      <xdr:col>21</xdr:col>
      <xdr:colOff>66675</xdr:colOff>
      <xdr:row>22</xdr:row>
      <xdr:rowOff>66676</xdr:rowOff>
    </xdr:from>
    <xdr:to>
      <xdr:col>24</xdr:col>
      <xdr:colOff>566052</xdr:colOff>
      <xdr:row>31</xdr:row>
      <xdr:rowOff>104776</xdr:rowOff>
    </xdr:to>
    <xdr:pic>
      <xdr:nvPicPr>
        <xdr:cNvPr id="9" name="Picture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7"/>
        <a:stretch>
          <a:fillRect/>
        </a:stretch>
      </xdr:blipFill>
      <xdr:spPr>
        <a:xfrm>
          <a:off x="14592300" y="4257676"/>
          <a:ext cx="2328177" cy="1752600"/>
        </a:xfrm>
        <a:prstGeom prst="rect">
          <a:avLst/>
        </a:prstGeom>
      </xdr:spPr>
    </xdr:pic>
    <xdr:clientData/>
  </xdr:twoCellAnchor>
  <xdr:twoCellAnchor editAs="oneCell">
    <xdr:from>
      <xdr:col>1</xdr:col>
      <xdr:colOff>247650</xdr:colOff>
      <xdr:row>60</xdr:row>
      <xdr:rowOff>95250</xdr:rowOff>
    </xdr:from>
    <xdr:to>
      <xdr:col>20</xdr:col>
      <xdr:colOff>503075</xdr:colOff>
      <xdr:row>84</xdr:row>
      <xdr:rowOff>180393</xdr:rowOff>
    </xdr:to>
    <xdr:pic>
      <xdr:nvPicPr>
        <xdr:cNvPr id="10" name="Picture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8"/>
        <a:stretch>
          <a:fillRect/>
        </a:stretch>
      </xdr:blipFill>
      <xdr:spPr>
        <a:xfrm>
          <a:off x="857250" y="11525250"/>
          <a:ext cx="14000000" cy="4657143"/>
        </a:xfrm>
        <a:prstGeom prst="rect">
          <a:avLst/>
        </a:prstGeom>
      </xdr:spPr>
    </xdr:pic>
    <xdr:clientData/>
  </xdr:twoCellAnchor>
  <xdr:twoCellAnchor editAs="oneCell">
    <xdr:from>
      <xdr:col>1</xdr:col>
      <xdr:colOff>295275</xdr:colOff>
      <xdr:row>85</xdr:row>
      <xdr:rowOff>152400</xdr:rowOff>
    </xdr:from>
    <xdr:to>
      <xdr:col>16</xdr:col>
      <xdr:colOff>589100</xdr:colOff>
      <xdr:row>112</xdr:row>
      <xdr:rowOff>161281</xdr:rowOff>
    </xdr:to>
    <xdr:pic>
      <xdr:nvPicPr>
        <xdr:cNvPr id="11" name="Picture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9"/>
        <a:stretch>
          <a:fillRect/>
        </a:stretch>
      </xdr:blipFill>
      <xdr:spPr>
        <a:xfrm>
          <a:off x="904875" y="16344900"/>
          <a:ext cx="11600000" cy="5152381"/>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57150</xdr:colOff>
      <xdr:row>2</xdr:row>
      <xdr:rowOff>66675</xdr:rowOff>
    </xdr:from>
    <xdr:to>
      <xdr:col>2</xdr:col>
      <xdr:colOff>2739390</xdr:colOff>
      <xdr:row>2</xdr:row>
      <xdr:rowOff>2078355</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552575" y="1076325"/>
          <a:ext cx="2682240" cy="2011680"/>
        </a:xfrm>
        <a:prstGeom prst="rect">
          <a:avLst/>
        </a:prstGeom>
      </xdr:spPr>
    </xdr:pic>
    <xdr:clientData/>
  </xdr:twoCellAnchor>
  <xdr:twoCellAnchor editAs="oneCell">
    <xdr:from>
      <xdr:col>2</xdr:col>
      <xdr:colOff>38100</xdr:colOff>
      <xdr:row>3</xdr:row>
      <xdr:rowOff>76200</xdr:rowOff>
    </xdr:from>
    <xdr:to>
      <xdr:col>2</xdr:col>
      <xdr:colOff>2720340</xdr:colOff>
      <xdr:row>3</xdr:row>
      <xdr:rowOff>2087880</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533525" y="3752850"/>
          <a:ext cx="2682240" cy="2011680"/>
        </a:xfrm>
        <a:prstGeom prst="rect">
          <a:avLst/>
        </a:prstGeom>
      </xdr:spPr>
    </xdr:pic>
    <xdr:clientData/>
  </xdr:twoCellAnchor>
  <xdr:twoCellAnchor editAs="oneCell">
    <xdr:from>
      <xdr:col>2</xdr:col>
      <xdr:colOff>57150</xdr:colOff>
      <xdr:row>4</xdr:row>
      <xdr:rowOff>47625</xdr:rowOff>
    </xdr:from>
    <xdr:to>
      <xdr:col>2</xdr:col>
      <xdr:colOff>2739390</xdr:colOff>
      <xdr:row>4</xdr:row>
      <xdr:rowOff>2059305</xdr:rowOff>
    </xdr:to>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a:stretch>
          <a:fillRect/>
        </a:stretch>
      </xdr:blipFill>
      <xdr:spPr>
        <a:xfrm>
          <a:off x="1552575" y="5486400"/>
          <a:ext cx="2682240" cy="2011680"/>
        </a:xfrm>
        <a:prstGeom prst="rect">
          <a:avLst/>
        </a:prstGeom>
      </xdr:spPr>
    </xdr:pic>
    <xdr:clientData/>
  </xdr:twoCellAnchor>
  <xdr:twoCellAnchor editAs="oneCell">
    <xdr:from>
      <xdr:col>4</xdr:col>
      <xdr:colOff>66675</xdr:colOff>
      <xdr:row>4</xdr:row>
      <xdr:rowOff>95250</xdr:rowOff>
    </xdr:from>
    <xdr:to>
      <xdr:col>4</xdr:col>
      <xdr:colOff>2748915</xdr:colOff>
      <xdr:row>4</xdr:row>
      <xdr:rowOff>2106930</xdr:rowOff>
    </xdr:to>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4"/>
        <a:stretch>
          <a:fillRect/>
        </a:stretch>
      </xdr:blipFill>
      <xdr:spPr>
        <a:xfrm>
          <a:off x="5591175" y="4914900"/>
          <a:ext cx="2682240" cy="2011680"/>
        </a:xfrm>
        <a:prstGeom prst="rect">
          <a:avLst/>
        </a:prstGeom>
      </xdr:spPr>
    </xdr:pic>
    <xdr:clientData/>
  </xdr:twoCellAnchor>
  <xdr:twoCellAnchor editAs="oneCell">
    <xdr:from>
      <xdr:col>4</xdr:col>
      <xdr:colOff>85725</xdr:colOff>
      <xdr:row>2</xdr:row>
      <xdr:rowOff>57150</xdr:rowOff>
    </xdr:from>
    <xdr:to>
      <xdr:col>4</xdr:col>
      <xdr:colOff>2767965</xdr:colOff>
      <xdr:row>2</xdr:row>
      <xdr:rowOff>2068830</xdr:rowOff>
    </xdr:to>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5"/>
        <a:stretch>
          <a:fillRect/>
        </a:stretch>
      </xdr:blipFill>
      <xdr:spPr>
        <a:xfrm>
          <a:off x="5610225" y="590550"/>
          <a:ext cx="2682240" cy="2011680"/>
        </a:xfrm>
        <a:prstGeom prst="rect">
          <a:avLst/>
        </a:prstGeom>
      </xdr:spPr>
    </xdr:pic>
    <xdr:clientData/>
  </xdr:twoCellAnchor>
  <xdr:twoCellAnchor editAs="oneCell">
    <xdr:from>
      <xdr:col>4</xdr:col>
      <xdr:colOff>66675</xdr:colOff>
      <xdr:row>3</xdr:row>
      <xdr:rowOff>66675</xdr:rowOff>
    </xdr:from>
    <xdr:to>
      <xdr:col>4</xdr:col>
      <xdr:colOff>2748915</xdr:colOff>
      <xdr:row>3</xdr:row>
      <xdr:rowOff>2078355</xdr:rowOff>
    </xdr:to>
    <xdr:pic>
      <xdr:nvPicPr>
        <xdr:cNvPr id="7" name="Picture 6">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6"/>
        <a:stretch>
          <a:fillRect/>
        </a:stretch>
      </xdr:blipFill>
      <xdr:spPr>
        <a:xfrm>
          <a:off x="5591175" y="2733675"/>
          <a:ext cx="2682240" cy="201168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3</xdr:col>
      <xdr:colOff>74519</xdr:colOff>
      <xdr:row>5</xdr:row>
      <xdr:rowOff>49305</xdr:rowOff>
    </xdr:from>
    <xdr:to>
      <xdr:col>3</xdr:col>
      <xdr:colOff>2756759</xdr:colOff>
      <xdr:row>5</xdr:row>
      <xdr:rowOff>2060985</xdr:rowOff>
    </xdr:to>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xfrm>
          <a:off x="3055284" y="1718981"/>
          <a:ext cx="2682240" cy="2011680"/>
        </a:xfrm>
        <a:prstGeom prst="rect">
          <a:avLst/>
        </a:prstGeom>
      </xdr:spPr>
    </xdr:pic>
    <xdr:clientData/>
  </xdr:twoCellAnchor>
  <xdr:twoCellAnchor editAs="oneCell">
    <xdr:from>
      <xdr:col>4</xdr:col>
      <xdr:colOff>89087</xdr:colOff>
      <xdr:row>7</xdr:row>
      <xdr:rowOff>47625</xdr:rowOff>
    </xdr:from>
    <xdr:to>
      <xdr:col>4</xdr:col>
      <xdr:colOff>2771327</xdr:colOff>
      <xdr:row>7</xdr:row>
      <xdr:rowOff>2059305</xdr:rowOff>
    </xdr:to>
    <xdr:pic>
      <xdr:nvPicPr>
        <xdr:cNvPr id="4" name="Picture 3">
          <a:extLst>
            <a:ext uri="{FF2B5EF4-FFF2-40B4-BE49-F238E27FC236}">
              <a16:creationId xmlns:a16="http://schemas.microsoft.com/office/drawing/2014/main" id="{00000000-0008-0000-0B00-000004000000}"/>
            </a:ext>
          </a:extLst>
        </xdr:cNvPr>
        <xdr:cNvPicPr>
          <a:picLocks noChangeAspect="1"/>
        </xdr:cNvPicPr>
      </xdr:nvPicPr>
      <xdr:blipFill>
        <a:blip xmlns:r="http://schemas.openxmlformats.org/officeDocument/2006/relationships" r:embed="rId2"/>
        <a:stretch>
          <a:fillRect/>
        </a:stretch>
      </xdr:blipFill>
      <xdr:spPr>
        <a:xfrm>
          <a:off x="5871322" y="4305860"/>
          <a:ext cx="2682240" cy="2011680"/>
        </a:xfrm>
        <a:prstGeom prst="rect">
          <a:avLst/>
        </a:prstGeom>
      </xdr:spPr>
    </xdr:pic>
    <xdr:clientData/>
  </xdr:twoCellAnchor>
  <xdr:twoCellAnchor editAs="oneCell">
    <xdr:from>
      <xdr:col>3</xdr:col>
      <xdr:colOff>68356</xdr:colOff>
      <xdr:row>7</xdr:row>
      <xdr:rowOff>39781</xdr:rowOff>
    </xdr:from>
    <xdr:to>
      <xdr:col>3</xdr:col>
      <xdr:colOff>2750596</xdr:colOff>
      <xdr:row>7</xdr:row>
      <xdr:rowOff>2051461</xdr:rowOff>
    </xdr:to>
    <xdr:pic>
      <xdr:nvPicPr>
        <xdr:cNvPr id="5" name="Picture 4">
          <a:extLst>
            <a:ext uri="{FF2B5EF4-FFF2-40B4-BE49-F238E27FC236}">
              <a16:creationId xmlns:a16="http://schemas.microsoft.com/office/drawing/2014/main" id="{00000000-0008-0000-0B00-000005000000}"/>
            </a:ext>
          </a:extLst>
        </xdr:cNvPr>
        <xdr:cNvPicPr>
          <a:picLocks noChangeAspect="1"/>
        </xdr:cNvPicPr>
      </xdr:nvPicPr>
      <xdr:blipFill>
        <a:blip xmlns:r="http://schemas.openxmlformats.org/officeDocument/2006/relationships" r:embed="rId3"/>
        <a:stretch>
          <a:fillRect/>
        </a:stretch>
      </xdr:blipFill>
      <xdr:spPr>
        <a:xfrm>
          <a:off x="3049121" y="4298016"/>
          <a:ext cx="2682240" cy="2011680"/>
        </a:xfrm>
        <a:prstGeom prst="rect">
          <a:avLst/>
        </a:prstGeom>
      </xdr:spPr>
    </xdr:pic>
    <xdr:clientData/>
  </xdr:twoCellAnchor>
  <xdr:twoCellAnchor editAs="oneCell">
    <xdr:from>
      <xdr:col>4</xdr:col>
      <xdr:colOff>95250</xdr:colOff>
      <xdr:row>5</xdr:row>
      <xdr:rowOff>49306</xdr:rowOff>
    </xdr:from>
    <xdr:to>
      <xdr:col>4</xdr:col>
      <xdr:colOff>2777490</xdr:colOff>
      <xdr:row>5</xdr:row>
      <xdr:rowOff>2060986</xdr:rowOff>
    </xdr:to>
    <xdr:pic>
      <xdr:nvPicPr>
        <xdr:cNvPr id="6" name="Picture 5">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4"/>
        <a:stretch>
          <a:fillRect/>
        </a:stretch>
      </xdr:blipFill>
      <xdr:spPr>
        <a:xfrm>
          <a:off x="5877485" y="1718982"/>
          <a:ext cx="2682240" cy="2011680"/>
        </a:xfrm>
        <a:prstGeom prst="rect">
          <a:avLst/>
        </a:prstGeom>
      </xdr:spPr>
    </xdr:pic>
    <xdr:clientData/>
  </xdr:twoCellAnchor>
  <xdr:twoCellAnchor editAs="oneCell">
    <xdr:from>
      <xdr:col>6</xdr:col>
      <xdr:colOff>77881</xdr:colOff>
      <xdr:row>7</xdr:row>
      <xdr:rowOff>45944</xdr:rowOff>
    </xdr:from>
    <xdr:to>
      <xdr:col>6</xdr:col>
      <xdr:colOff>2760121</xdr:colOff>
      <xdr:row>7</xdr:row>
      <xdr:rowOff>2057624</xdr:rowOff>
    </xdr:to>
    <xdr:pic>
      <xdr:nvPicPr>
        <xdr:cNvPr id="7" name="Picture 6">
          <a:extLst>
            <a:ext uri="{FF2B5EF4-FFF2-40B4-BE49-F238E27FC236}">
              <a16:creationId xmlns:a16="http://schemas.microsoft.com/office/drawing/2014/main" id="{00000000-0008-0000-0B00-000007000000}"/>
            </a:ext>
          </a:extLst>
        </xdr:cNvPr>
        <xdr:cNvPicPr>
          <a:picLocks noChangeAspect="1"/>
        </xdr:cNvPicPr>
      </xdr:nvPicPr>
      <xdr:blipFill>
        <a:blip xmlns:r="http://schemas.openxmlformats.org/officeDocument/2006/relationships" r:embed="rId5"/>
        <a:stretch>
          <a:fillRect/>
        </a:stretch>
      </xdr:blipFill>
      <xdr:spPr>
        <a:xfrm>
          <a:off x="11575116" y="4304179"/>
          <a:ext cx="2682240" cy="2011680"/>
        </a:xfrm>
        <a:prstGeom prst="rect">
          <a:avLst/>
        </a:prstGeom>
      </xdr:spPr>
    </xdr:pic>
    <xdr:clientData/>
  </xdr:twoCellAnchor>
  <xdr:twoCellAnchor editAs="oneCell">
    <xdr:from>
      <xdr:col>5</xdr:col>
      <xdr:colOff>96931</xdr:colOff>
      <xdr:row>7</xdr:row>
      <xdr:rowOff>55469</xdr:rowOff>
    </xdr:from>
    <xdr:to>
      <xdr:col>5</xdr:col>
      <xdr:colOff>2779171</xdr:colOff>
      <xdr:row>7</xdr:row>
      <xdr:rowOff>2067149</xdr:rowOff>
    </xdr:to>
    <xdr:pic>
      <xdr:nvPicPr>
        <xdr:cNvPr id="8" name="Picture 7">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6"/>
        <a:stretch>
          <a:fillRect/>
        </a:stretch>
      </xdr:blipFill>
      <xdr:spPr>
        <a:xfrm>
          <a:off x="8725460" y="4313704"/>
          <a:ext cx="2682240" cy="2011680"/>
        </a:xfrm>
        <a:prstGeom prst="rect">
          <a:avLst/>
        </a:prstGeom>
      </xdr:spPr>
    </xdr:pic>
    <xdr:clientData/>
  </xdr:twoCellAnchor>
  <xdr:twoCellAnchor editAs="oneCell">
    <xdr:from>
      <xdr:col>5</xdr:col>
      <xdr:colOff>112619</xdr:colOff>
      <xdr:row>5</xdr:row>
      <xdr:rowOff>49306</xdr:rowOff>
    </xdr:from>
    <xdr:to>
      <xdr:col>5</xdr:col>
      <xdr:colOff>2794859</xdr:colOff>
      <xdr:row>5</xdr:row>
      <xdr:rowOff>2060986</xdr:rowOff>
    </xdr:to>
    <xdr:pic>
      <xdr:nvPicPr>
        <xdr:cNvPr id="9" name="Picture 8">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7"/>
        <a:stretch>
          <a:fillRect/>
        </a:stretch>
      </xdr:blipFill>
      <xdr:spPr>
        <a:xfrm>
          <a:off x="8741148" y="2122394"/>
          <a:ext cx="2682240" cy="2011680"/>
        </a:xfrm>
        <a:prstGeom prst="rect">
          <a:avLst/>
        </a:prstGeom>
      </xdr:spPr>
    </xdr:pic>
    <xdr:clientData/>
  </xdr:twoCellAnchor>
  <xdr:twoCellAnchor editAs="oneCell">
    <xdr:from>
      <xdr:col>6</xdr:col>
      <xdr:colOff>71157</xdr:colOff>
      <xdr:row>5</xdr:row>
      <xdr:rowOff>49306</xdr:rowOff>
    </xdr:from>
    <xdr:to>
      <xdr:col>6</xdr:col>
      <xdr:colOff>2753397</xdr:colOff>
      <xdr:row>5</xdr:row>
      <xdr:rowOff>2060986</xdr:rowOff>
    </xdr:to>
    <xdr:pic>
      <xdr:nvPicPr>
        <xdr:cNvPr id="10" name="Picture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8"/>
        <a:stretch>
          <a:fillRect/>
        </a:stretch>
      </xdr:blipFill>
      <xdr:spPr>
        <a:xfrm>
          <a:off x="11568392" y="1718982"/>
          <a:ext cx="2682240" cy="2011680"/>
        </a:xfrm>
        <a:prstGeom prst="rect">
          <a:avLst/>
        </a:prstGeom>
      </xdr:spPr>
    </xdr:pic>
    <xdr:clientData/>
  </xdr:twoCellAnchor>
  <xdr:twoCellAnchor editAs="oneCell">
    <xdr:from>
      <xdr:col>6</xdr:col>
      <xdr:colOff>85725</xdr:colOff>
      <xdr:row>9</xdr:row>
      <xdr:rowOff>52107</xdr:rowOff>
    </xdr:from>
    <xdr:to>
      <xdr:col>6</xdr:col>
      <xdr:colOff>2767965</xdr:colOff>
      <xdr:row>9</xdr:row>
      <xdr:rowOff>2063787</xdr:rowOff>
    </xdr:to>
    <xdr:pic>
      <xdr:nvPicPr>
        <xdr:cNvPr id="29" name="Picture 28">
          <a:extLst>
            <a:ext uri="{FF2B5EF4-FFF2-40B4-BE49-F238E27FC236}">
              <a16:creationId xmlns:a16="http://schemas.microsoft.com/office/drawing/2014/main" id="{00000000-0008-0000-0B00-00001D000000}"/>
            </a:ext>
          </a:extLst>
        </xdr:cNvPr>
        <xdr:cNvPicPr>
          <a:picLocks noChangeAspect="1"/>
        </xdr:cNvPicPr>
      </xdr:nvPicPr>
      <xdr:blipFill>
        <a:blip xmlns:r="http://schemas.openxmlformats.org/officeDocument/2006/relationships" r:embed="rId9"/>
        <a:stretch>
          <a:fillRect/>
        </a:stretch>
      </xdr:blipFill>
      <xdr:spPr>
        <a:xfrm>
          <a:off x="11582960" y="6798048"/>
          <a:ext cx="2682240" cy="2011680"/>
        </a:xfrm>
        <a:prstGeom prst="rect">
          <a:avLst/>
        </a:prstGeom>
      </xdr:spPr>
    </xdr:pic>
    <xdr:clientData/>
  </xdr:twoCellAnchor>
  <xdr:twoCellAnchor editAs="oneCell">
    <xdr:from>
      <xdr:col>6</xdr:col>
      <xdr:colOff>57150</xdr:colOff>
      <xdr:row>11</xdr:row>
      <xdr:rowOff>47625</xdr:rowOff>
    </xdr:from>
    <xdr:to>
      <xdr:col>6</xdr:col>
      <xdr:colOff>2739390</xdr:colOff>
      <xdr:row>11</xdr:row>
      <xdr:rowOff>2059305</xdr:rowOff>
    </xdr:to>
    <xdr:pic>
      <xdr:nvPicPr>
        <xdr:cNvPr id="30" name="Picture 29">
          <a:extLst>
            <a:ext uri="{FF2B5EF4-FFF2-40B4-BE49-F238E27FC236}">
              <a16:creationId xmlns:a16="http://schemas.microsoft.com/office/drawing/2014/main" id="{00000000-0008-0000-0B00-00001E000000}"/>
            </a:ext>
          </a:extLst>
        </xdr:cNvPr>
        <xdr:cNvPicPr>
          <a:picLocks noChangeAspect="1"/>
        </xdr:cNvPicPr>
      </xdr:nvPicPr>
      <xdr:blipFill>
        <a:blip xmlns:r="http://schemas.openxmlformats.org/officeDocument/2006/relationships" r:embed="rId10"/>
        <a:stretch>
          <a:fillRect/>
        </a:stretch>
      </xdr:blipFill>
      <xdr:spPr>
        <a:xfrm>
          <a:off x="10325100" y="8943975"/>
          <a:ext cx="2682240" cy="2011680"/>
        </a:xfrm>
        <a:prstGeom prst="rect">
          <a:avLst/>
        </a:prstGeom>
      </xdr:spPr>
    </xdr:pic>
    <xdr:clientData/>
  </xdr:twoCellAnchor>
  <xdr:twoCellAnchor editAs="oneCell">
    <xdr:from>
      <xdr:col>5</xdr:col>
      <xdr:colOff>123825</xdr:colOff>
      <xdr:row>9</xdr:row>
      <xdr:rowOff>53788</xdr:rowOff>
    </xdr:from>
    <xdr:to>
      <xdr:col>5</xdr:col>
      <xdr:colOff>2806065</xdr:colOff>
      <xdr:row>9</xdr:row>
      <xdr:rowOff>2065468</xdr:rowOff>
    </xdr:to>
    <xdr:pic>
      <xdr:nvPicPr>
        <xdr:cNvPr id="31" name="Picture 30">
          <a:extLst>
            <a:ext uri="{FF2B5EF4-FFF2-40B4-BE49-F238E27FC236}">
              <a16:creationId xmlns:a16="http://schemas.microsoft.com/office/drawing/2014/main" id="{00000000-0008-0000-0B00-00001F000000}"/>
            </a:ext>
          </a:extLst>
        </xdr:cNvPr>
        <xdr:cNvPicPr>
          <a:picLocks noChangeAspect="1"/>
        </xdr:cNvPicPr>
      </xdr:nvPicPr>
      <xdr:blipFill>
        <a:blip xmlns:r="http://schemas.openxmlformats.org/officeDocument/2006/relationships" r:embed="rId11"/>
        <a:stretch>
          <a:fillRect/>
        </a:stretch>
      </xdr:blipFill>
      <xdr:spPr>
        <a:xfrm>
          <a:off x="8752354" y="6799729"/>
          <a:ext cx="2682240" cy="2011680"/>
        </a:xfrm>
        <a:prstGeom prst="rect">
          <a:avLst/>
        </a:prstGeom>
      </xdr:spPr>
    </xdr:pic>
    <xdr:clientData/>
  </xdr:twoCellAnchor>
  <xdr:twoCellAnchor editAs="oneCell">
    <xdr:from>
      <xdr:col>5</xdr:col>
      <xdr:colOff>76200</xdr:colOff>
      <xdr:row>11</xdr:row>
      <xdr:rowOff>57150</xdr:rowOff>
    </xdr:from>
    <xdr:to>
      <xdr:col>5</xdr:col>
      <xdr:colOff>2758440</xdr:colOff>
      <xdr:row>11</xdr:row>
      <xdr:rowOff>2068830</xdr:rowOff>
    </xdr:to>
    <xdr:pic>
      <xdr:nvPicPr>
        <xdr:cNvPr id="32" name="Picture 31">
          <a:extLst>
            <a:ext uri="{FF2B5EF4-FFF2-40B4-BE49-F238E27FC236}">
              <a16:creationId xmlns:a16="http://schemas.microsoft.com/office/drawing/2014/main" id="{00000000-0008-0000-0B00-000020000000}"/>
            </a:ext>
          </a:extLst>
        </xdr:cNvPr>
        <xdr:cNvPicPr>
          <a:picLocks noChangeAspect="1"/>
        </xdr:cNvPicPr>
      </xdr:nvPicPr>
      <xdr:blipFill>
        <a:blip xmlns:r="http://schemas.openxmlformats.org/officeDocument/2006/relationships" r:embed="rId12"/>
        <a:stretch>
          <a:fillRect/>
        </a:stretch>
      </xdr:blipFill>
      <xdr:spPr>
        <a:xfrm>
          <a:off x="7477125" y="8953500"/>
          <a:ext cx="2682240" cy="2011680"/>
        </a:xfrm>
        <a:prstGeom prst="rect">
          <a:avLst/>
        </a:prstGeom>
      </xdr:spPr>
    </xdr:pic>
    <xdr:clientData/>
  </xdr:twoCellAnchor>
  <xdr:twoCellAnchor editAs="oneCell">
    <xdr:from>
      <xdr:col>4</xdr:col>
      <xdr:colOff>114300</xdr:colOff>
      <xdr:row>11</xdr:row>
      <xdr:rowOff>57150</xdr:rowOff>
    </xdr:from>
    <xdr:to>
      <xdr:col>4</xdr:col>
      <xdr:colOff>2796540</xdr:colOff>
      <xdr:row>11</xdr:row>
      <xdr:rowOff>2068830</xdr:rowOff>
    </xdr:to>
    <xdr:pic>
      <xdr:nvPicPr>
        <xdr:cNvPr id="33" name="Picture 32">
          <a:extLst>
            <a:ext uri="{FF2B5EF4-FFF2-40B4-BE49-F238E27FC236}">
              <a16:creationId xmlns:a16="http://schemas.microsoft.com/office/drawing/2014/main" id="{00000000-0008-0000-0B00-000021000000}"/>
            </a:ext>
          </a:extLst>
        </xdr:cNvPr>
        <xdr:cNvPicPr>
          <a:picLocks noChangeAspect="1"/>
        </xdr:cNvPicPr>
      </xdr:nvPicPr>
      <xdr:blipFill>
        <a:blip xmlns:r="http://schemas.openxmlformats.org/officeDocument/2006/relationships" r:embed="rId13"/>
        <a:stretch>
          <a:fillRect/>
        </a:stretch>
      </xdr:blipFill>
      <xdr:spPr>
        <a:xfrm>
          <a:off x="4667250" y="8953500"/>
          <a:ext cx="2682240" cy="2011680"/>
        </a:xfrm>
        <a:prstGeom prst="rect">
          <a:avLst/>
        </a:prstGeom>
      </xdr:spPr>
    </xdr:pic>
    <xdr:clientData/>
  </xdr:twoCellAnchor>
  <xdr:twoCellAnchor editAs="oneCell">
    <xdr:from>
      <xdr:col>3</xdr:col>
      <xdr:colOff>66675</xdr:colOff>
      <xdr:row>11</xdr:row>
      <xdr:rowOff>57150</xdr:rowOff>
    </xdr:from>
    <xdr:to>
      <xdr:col>3</xdr:col>
      <xdr:colOff>2748915</xdr:colOff>
      <xdr:row>11</xdr:row>
      <xdr:rowOff>2068830</xdr:rowOff>
    </xdr:to>
    <xdr:pic>
      <xdr:nvPicPr>
        <xdr:cNvPr id="34" name="Picture 33">
          <a:extLst>
            <a:ext uri="{FF2B5EF4-FFF2-40B4-BE49-F238E27FC236}">
              <a16:creationId xmlns:a16="http://schemas.microsoft.com/office/drawing/2014/main" id="{00000000-0008-0000-0B00-000022000000}"/>
            </a:ext>
          </a:extLst>
        </xdr:cNvPr>
        <xdr:cNvPicPr>
          <a:picLocks noChangeAspect="1"/>
        </xdr:cNvPicPr>
      </xdr:nvPicPr>
      <xdr:blipFill>
        <a:blip xmlns:r="http://schemas.openxmlformats.org/officeDocument/2006/relationships" r:embed="rId14"/>
        <a:stretch>
          <a:fillRect/>
        </a:stretch>
      </xdr:blipFill>
      <xdr:spPr>
        <a:xfrm>
          <a:off x="1819275" y="8953500"/>
          <a:ext cx="2682240" cy="2011680"/>
        </a:xfrm>
        <a:prstGeom prst="rect">
          <a:avLst/>
        </a:prstGeom>
      </xdr:spPr>
    </xdr:pic>
    <xdr:clientData/>
  </xdr:twoCellAnchor>
  <xdr:twoCellAnchor editAs="oneCell">
    <xdr:from>
      <xdr:col>4</xdr:col>
      <xdr:colOff>114300</xdr:colOff>
      <xdr:row>9</xdr:row>
      <xdr:rowOff>63313</xdr:rowOff>
    </xdr:from>
    <xdr:to>
      <xdr:col>4</xdr:col>
      <xdr:colOff>2796540</xdr:colOff>
      <xdr:row>9</xdr:row>
      <xdr:rowOff>2074993</xdr:rowOff>
    </xdr:to>
    <xdr:pic>
      <xdr:nvPicPr>
        <xdr:cNvPr id="35" name="Picture 34">
          <a:extLst>
            <a:ext uri="{FF2B5EF4-FFF2-40B4-BE49-F238E27FC236}">
              <a16:creationId xmlns:a16="http://schemas.microsoft.com/office/drawing/2014/main" id="{00000000-0008-0000-0B00-000023000000}"/>
            </a:ext>
          </a:extLst>
        </xdr:cNvPr>
        <xdr:cNvPicPr>
          <a:picLocks noChangeAspect="1"/>
        </xdr:cNvPicPr>
      </xdr:nvPicPr>
      <xdr:blipFill>
        <a:blip xmlns:r="http://schemas.openxmlformats.org/officeDocument/2006/relationships" r:embed="rId15"/>
        <a:stretch>
          <a:fillRect/>
        </a:stretch>
      </xdr:blipFill>
      <xdr:spPr>
        <a:xfrm>
          <a:off x="5896535" y="6809254"/>
          <a:ext cx="2682240" cy="2011680"/>
        </a:xfrm>
        <a:prstGeom prst="rect">
          <a:avLst/>
        </a:prstGeom>
      </xdr:spPr>
    </xdr:pic>
    <xdr:clientData/>
  </xdr:twoCellAnchor>
  <xdr:twoCellAnchor editAs="oneCell">
    <xdr:from>
      <xdr:col>3</xdr:col>
      <xdr:colOff>66675</xdr:colOff>
      <xdr:row>9</xdr:row>
      <xdr:rowOff>63312</xdr:rowOff>
    </xdr:from>
    <xdr:to>
      <xdr:col>3</xdr:col>
      <xdr:colOff>2748915</xdr:colOff>
      <xdr:row>9</xdr:row>
      <xdr:rowOff>2074992</xdr:rowOff>
    </xdr:to>
    <xdr:pic>
      <xdr:nvPicPr>
        <xdr:cNvPr id="40" name="Picture 39">
          <a:extLst>
            <a:ext uri="{FF2B5EF4-FFF2-40B4-BE49-F238E27FC236}">
              <a16:creationId xmlns:a16="http://schemas.microsoft.com/office/drawing/2014/main" id="{00000000-0008-0000-0B00-000028000000}"/>
            </a:ext>
          </a:extLst>
        </xdr:cNvPr>
        <xdr:cNvPicPr>
          <a:picLocks noChangeAspect="1"/>
        </xdr:cNvPicPr>
      </xdr:nvPicPr>
      <xdr:blipFill>
        <a:blip xmlns:r="http://schemas.openxmlformats.org/officeDocument/2006/relationships" r:embed="rId16"/>
        <a:stretch>
          <a:fillRect/>
        </a:stretch>
      </xdr:blipFill>
      <xdr:spPr>
        <a:xfrm>
          <a:off x="3047440" y="6809253"/>
          <a:ext cx="2682240" cy="2011680"/>
        </a:xfrm>
        <a:prstGeom prst="rect">
          <a:avLst/>
        </a:prstGeom>
      </xdr:spPr>
    </xdr:pic>
    <xdr:clientData/>
  </xdr:twoCellAnchor>
  <xdr:twoCellAnchor editAs="oneCell">
    <xdr:from>
      <xdr:col>3</xdr:col>
      <xdr:colOff>89086</xdr:colOff>
      <xdr:row>22</xdr:row>
      <xdr:rowOff>57150</xdr:rowOff>
    </xdr:from>
    <xdr:to>
      <xdr:col>3</xdr:col>
      <xdr:colOff>2771326</xdr:colOff>
      <xdr:row>22</xdr:row>
      <xdr:rowOff>2068830</xdr:rowOff>
    </xdr:to>
    <xdr:pic>
      <xdr:nvPicPr>
        <xdr:cNvPr id="11" name="Picture 10">
          <a:extLst>
            <a:ext uri="{FF2B5EF4-FFF2-40B4-BE49-F238E27FC236}">
              <a16:creationId xmlns:a16="http://schemas.microsoft.com/office/drawing/2014/main" id="{00000000-0008-0000-0B00-00000B000000}"/>
            </a:ext>
          </a:extLst>
        </xdr:cNvPr>
        <xdr:cNvPicPr>
          <a:picLocks noChangeAspect="1"/>
        </xdr:cNvPicPr>
      </xdr:nvPicPr>
      <xdr:blipFill>
        <a:blip xmlns:r="http://schemas.openxmlformats.org/officeDocument/2006/relationships" r:embed="rId17"/>
        <a:stretch>
          <a:fillRect/>
        </a:stretch>
      </xdr:blipFill>
      <xdr:spPr>
        <a:xfrm>
          <a:off x="3069851" y="24609238"/>
          <a:ext cx="2682240" cy="2011680"/>
        </a:xfrm>
        <a:prstGeom prst="rect">
          <a:avLst/>
        </a:prstGeom>
      </xdr:spPr>
    </xdr:pic>
    <xdr:clientData/>
  </xdr:twoCellAnchor>
  <xdr:twoCellAnchor editAs="oneCell">
    <xdr:from>
      <xdr:col>4</xdr:col>
      <xdr:colOff>108136</xdr:colOff>
      <xdr:row>22</xdr:row>
      <xdr:rowOff>47626</xdr:rowOff>
    </xdr:from>
    <xdr:to>
      <xdr:col>4</xdr:col>
      <xdr:colOff>2790376</xdr:colOff>
      <xdr:row>22</xdr:row>
      <xdr:rowOff>2059306</xdr:rowOff>
    </xdr:to>
    <xdr:pic>
      <xdr:nvPicPr>
        <xdr:cNvPr id="12" name="Picture 11">
          <a:extLst>
            <a:ext uri="{FF2B5EF4-FFF2-40B4-BE49-F238E27FC236}">
              <a16:creationId xmlns:a16="http://schemas.microsoft.com/office/drawing/2014/main" id="{00000000-0008-0000-0B00-00000C000000}"/>
            </a:ext>
          </a:extLst>
        </xdr:cNvPr>
        <xdr:cNvPicPr>
          <a:picLocks noChangeAspect="1"/>
        </xdr:cNvPicPr>
      </xdr:nvPicPr>
      <xdr:blipFill>
        <a:blip xmlns:r="http://schemas.openxmlformats.org/officeDocument/2006/relationships" r:embed="rId18"/>
        <a:stretch>
          <a:fillRect/>
        </a:stretch>
      </xdr:blipFill>
      <xdr:spPr>
        <a:xfrm>
          <a:off x="5890371" y="24599714"/>
          <a:ext cx="2682240" cy="2011680"/>
        </a:xfrm>
        <a:prstGeom prst="rect">
          <a:avLst/>
        </a:prstGeom>
      </xdr:spPr>
    </xdr:pic>
    <xdr:clientData/>
  </xdr:twoCellAnchor>
  <xdr:twoCellAnchor editAs="oneCell">
    <xdr:from>
      <xdr:col>5</xdr:col>
      <xdr:colOff>136711</xdr:colOff>
      <xdr:row>22</xdr:row>
      <xdr:rowOff>66675</xdr:rowOff>
    </xdr:from>
    <xdr:to>
      <xdr:col>5</xdr:col>
      <xdr:colOff>2818951</xdr:colOff>
      <xdr:row>22</xdr:row>
      <xdr:rowOff>2078355</xdr:rowOff>
    </xdr:to>
    <xdr:pic>
      <xdr:nvPicPr>
        <xdr:cNvPr id="14" name="Picture 13">
          <a:extLst>
            <a:ext uri="{FF2B5EF4-FFF2-40B4-BE49-F238E27FC236}">
              <a16:creationId xmlns:a16="http://schemas.microsoft.com/office/drawing/2014/main" id="{00000000-0008-0000-0B00-00000E000000}"/>
            </a:ext>
          </a:extLst>
        </xdr:cNvPr>
        <xdr:cNvPicPr>
          <a:picLocks noChangeAspect="1"/>
        </xdr:cNvPicPr>
      </xdr:nvPicPr>
      <xdr:blipFill>
        <a:blip xmlns:r="http://schemas.openxmlformats.org/officeDocument/2006/relationships" r:embed="rId19"/>
        <a:stretch>
          <a:fillRect/>
        </a:stretch>
      </xdr:blipFill>
      <xdr:spPr>
        <a:xfrm>
          <a:off x="8765240" y="24618763"/>
          <a:ext cx="2682240" cy="2011680"/>
        </a:xfrm>
        <a:prstGeom prst="rect">
          <a:avLst/>
        </a:prstGeom>
      </xdr:spPr>
    </xdr:pic>
    <xdr:clientData/>
  </xdr:twoCellAnchor>
  <xdr:twoCellAnchor editAs="oneCell">
    <xdr:from>
      <xdr:col>6</xdr:col>
      <xdr:colOff>79561</xdr:colOff>
      <xdr:row>22</xdr:row>
      <xdr:rowOff>76200</xdr:rowOff>
    </xdr:from>
    <xdr:to>
      <xdr:col>6</xdr:col>
      <xdr:colOff>2761801</xdr:colOff>
      <xdr:row>22</xdr:row>
      <xdr:rowOff>2087880</xdr:rowOff>
    </xdr:to>
    <xdr:pic>
      <xdr:nvPicPr>
        <xdr:cNvPr id="15" name="Picture 14">
          <a:extLst>
            <a:ext uri="{FF2B5EF4-FFF2-40B4-BE49-F238E27FC236}">
              <a16:creationId xmlns:a16="http://schemas.microsoft.com/office/drawing/2014/main" id="{00000000-0008-0000-0B00-00000F000000}"/>
            </a:ext>
          </a:extLst>
        </xdr:cNvPr>
        <xdr:cNvPicPr>
          <a:picLocks noChangeAspect="1"/>
        </xdr:cNvPicPr>
      </xdr:nvPicPr>
      <xdr:blipFill>
        <a:blip xmlns:r="http://schemas.openxmlformats.org/officeDocument/2006/relationships" r:embed="rId20"/>
        <a:stretch>
          <a:fillRect/>
        </a:stretch>
      </xdr:blipFill>
      <xdr:spPr>
        <a:xfrm>
          <a:off x="11576796" y="24628288"/>
          <a:ext cx="2682240" cy="2011680"/>
        </a:xfrm>
        <a:prstGeom prst="rect">
          <a:avLst/>
        </a:prstGeom>
      </xdr:spPr>
    </xdr:pic>
    <xdr:clientData/>
  </xdr:twoCellAnchor>
  <xdr:twoCellAnchor editAs="oneCell">
    <xdr:from>
      <xdr:col>6</xdr:col>
      <xdr:colOff>57150</xdr:colOff>
      <xdr:row>18</xdr:row>
      <xdr:rowOff>38100</xdr:rowOff>
    </xdr:from>
    <xdr:to>
      <xdr:col>6</xdr:col>
      <xdr:colOff>2739390</xdr:colOff>
      <xdr:row>18</xdr:row>
      <xdr:rowOff>2049780</xdr:rowOff>
    </xdr:to>
    <xdr:pic>
      <xdr:nvPicPr>
        <xdr:cNvPr id="16" name="Picture 15">
          <a:extLst>
            <a:ext uri="{FF2B5EF4-FFF2-40B4-BE49-F238E27FC236}">
              <a16:creationId xmlns:a16="http://schemas.microsoft.com/office/drawing/2014/main" id="{00000000-0008-0000-0B00-000010000000}"/>
            </a:ext>
          </a:extLst>
        </xdr:cNvPr>
        <xdr:cNvPicPr>
          <a:picLocks noChangeAspect="1"/>
        </xdr:cNvPicPr>
      </xdr:nvPicPr>
      <xdr:blipFill>
        <a:blip xmlns:r="http://schemas.openxmlformats.org/officeDocument/2006/relationships" r:embed="rId21"/>
        <a:stretch>
          <a:fillRect/>
        </a:stretch>
      </xdr:blipFill>
      <xdr:spPr>
        <a:xfrm>
          <a:off x="10325100" y="21402675"/>
          <a:ext cx="2682240" cy="2011680"/>
        </a:xfrm>
        <a:prstGeom prst="rect">
          <a:avLst/>
        </a:prstGeom>
      </xdr:spPr>
    </xdr:pic>
    <xdr:clientData/>
  </xdr:twoCellAnchor>
  <xdr:twoCellAnchor editAs="oneCell">
    <xdr:from>
      <xdr:col>5</xdr:col>
      <xdr:colOff>95250</xdr:colOff>
      <xdr:row>18</xdr:row>
      <xdr:rowOff>47625</xdr:rowOff>
    </xdr:from>
    <xdr:to>
      <xdr:col>5</xdr:col>
      <xdr:colOff>2777490</xdr:colOff>
      <xdr:row>18</xdr:row>
      <xdr:rowOff>2059305</xdr:rowOff>
    </xdr:to>
    <xdr:pic>
      <xdr:nvPicPr>
        <xdr:cNvPr id="17" name="Picture 16">
          <a:extLst>
            <a:ext uri="{FF2B5EF4-FFF2-40B4-BE49-F238E27FC236}">
              <a16:creationId xmlns:a16="http://schemas.microsoft.com/office/drawing/2014/main" id="{00000000-0008-0000-0B00-000011000000}"/>
            </a:ext>
          </a:extLst>
        </xdr:cNvPr>
        <xdr:cNvPicPr>
          <a:picLocks noChangeAspect="1"/>
        </xdr:cNvPicPr>
      </xdr:nvPicPr>
      <xdr:blipFill>
        <a:blip xmlns:r="http://schemas.openxmlformats.org/officeDocument/2006/relationships" r:embed="rId22"/>
        <a:stretch>
          <a:fillRect/>
        </a:stretch>
      </xdr:blipFill>
      <xdr:spPr>
        <a:xfrm>
          <a:off x="7496175" y="21412200"/>
          <a:ext cx="2682240" cy="2011680"/>
        </a:xfrm>
        <a:prstGeom prst="rect">
          <a:avLst/>
        </a:prstGeom>
      </xdr:spPr>
    </xdr:pic>
    <xdr:clientData/>
  </xdr:twoCellAnchor>
  <xdr:twoCellAnchor editAs="oneCell">
    <xdr:from>
      <xdr:col>4</xdr:col>
      <xdr:colOff>95250</xdr:colOff>
      <xdr:row>18</xdr:row>
      <xdr:rowOff>57150</xdr:rowOff>
    </xdr:from>
    <xdr:to>
      <xdr:col>4</xdr:col>
      <xdr:colOff>2777490</xdr:colOff>
      <xdr:row>18</xdr:row>
      <xdr:rowOff>2068830</xdr:rowOff>
    </xdr:to>
    <xdr:pic>
      <xdr:nvPicPr>
        <xdr:cNvPr id="18" name="Picture 17">
          <a:extLst>
            <a:ext uri="{FF2B5EF4-FFF2-40B4-BE49-F238E27FC236}">
              <a16:creationId xmlns:a16="http://schemas.microsoft.com/office/drawing/2014/main" id="{00000000-0008-0000-0B00-000012000000}"/>
            </a:ext>
          </a:extLst>
        </xdr:cNvPr>
        <xdr:cNvPicPr>
          <a:picLocks noChangeAspect="1"/>
        </xdr:cNvPicPr>
      </xdr:nvPicPr>
      <xdr:blipFill>
        <a:blip xmlns:r="http://schemas.openxmlformats.org/officeDocument/2006/relationships" r:embed="rId23"/>
        <a:stretch>
          <a:fillRect/>
        </a:stretch>
      </xdr:blipFill>
      <xdr:spPr>
        <a:xfrm>
          <a:off x="4648200" y="21421725"/>
          <a:ext cx="2682240" cy="2011680"/>
        </a:xfrm>
        <a:prstGeom prst="rect">
          <a:avLst/>
        </a:prstGeom>
      </xdr:spPr>
    </xdr:pic>
    <xdr:clientData/>
  </xdr:twoCellAnchor>
  <xdr:twoCellAnchor editAs="oneCell">
    <xdr:from>
      <xdr:col>3</xdr:col>
      <xdr:colOff>76200</xdr:colOff>
      <xdr:row>18</xdr:row>
      <xdr:rowOff>57150</xdr:rowOff>
    </xdr:from>
    <xdr:to>
      <xdr:col>3</xdr:col>
      <xdr:colOff>2758440</xdr:colOff>
      <xdr:row>18</xdr:row>
      <xdr:rowOff>2068830</xdr:rowOff>
    </xdr:to>
    <xdr:pic>
      <xdr:nvPicPr>
        <xdr:cNvPr id="19" name="Picture 18">
          <a:extLst>
            <a:ext uri="{FF2B5EF4-FFF2-40B4-BE49-F238E27FC236}">
              <a16:creationId xmlns:a16="http://schemas.microsoft.com/office/drawing/2014/main" id="{00000000-0008-0000-0B00-000013000000}"/>
            </a:ext>
          </a:extLst>
        </xdr:cNvPr>
        <xdr:cNvPicPr>
          <a:picLocks noChangeAspect="1"/>
        </xdr:cNvPicPr>
      </xdr:nvPicPr>
      <xdr:blipFill>
        <a:blip xmlns:r="http://schemas.openxmlformats.org/officeDocument/2006/relationships" r:embed="rId24"/>
        <a:stretch>
          <a:fillRect/>
        </a:stretch>
      </xdr:blipFill>
      <xdr:spPr>
        <a:xfrm>
          <a:off x="1828800" y="21421725"/>
          <a:ext cx="2682240" cy="2011680"/>
        </a:xfrm>
        <a:prstGeom prst="rect">
          <a:avLst/>
        </a:prstGeom>
      </xdr:spPr>
    </xdr:pic>
    <xdr:clientData/>
  </xdr:twoCellAnchor>
  <xdr:twoCellAnchor editAs="oneCell">
    <xdr:from>
      <xdr:col>3</xdr:col>
      <xdr:colOff>66675</xdr:colOff>
      <xdr:row>20</xdr:row>
      <xdr:rowOff>76200</xdr:rowOff>
    </xdr:from>
    <xdr:to>
      <xdr:col>3</xdr:col>
      <xdr:colOff>2748915</xdr:colOff>
      <xdr:row>20</xdr:row>
      <xdr:rowOff>2087880</xdr:rowOff>
    </xdr:to>
    <xdr:pic>
      <xdr:nvPicPr>
        <xdr:cNvPr id="20" name="Picture 19">
          <a:extLst>
            <a:ext uri="{FF2B5EF4-FFF2-40B4-BE49-F238E27FC236}">
              <a16:creationId xmlns:a16="http://schemas.microsoft.com/office/drawing/2014/main" id="{00000000-0008-0000-0B00-000014000000}"/>
            </a:ext>
          </a:extLst>
        </xdr:cNvPr>
        <xdr:cNvPicPr>
          <a:picLocks noChangeAspect="1"/>
        </xdr:cNvPicPr>
      </xdr:nvPicPr>
      <xdr:blipFill>
        <a:blip xmlns:r="http://schemas.openxmlformats.org/officeDocument/2006/relationships" r:embed="rId25"/>
        <a:stretch>
          <a:fillRect/>
        </a:stretch>
      </xdr:blipFill>
      <xdr:spPr>
        <a:xfrm>
          <a:off x="1819275" y="23907750"/>
          <a:ext cx="2682240" cy="2011680"/>
        </a:xfrm>
        <a:prstGeom prst="rect">
          <a:avLst/>
        </a:prstGeom>
      </xdr:spPr>
    </xdr:pic>
    <xdr:clientData/>
  </xdr:twoCellAnchor>
  <xdr:twoCellAnchor editAs="oneCell">
    <xdr:from>
      <xdr:col>4</xdr:col>
      <xdr:colOff>104775</xdr:colOff>
      <xdr:row>20</xdr:row>
      <xdr:rowOff>76200</xdr:rowOff>
    </xdr:from>
    <xdr:to>
      <xdr:col>4</xdr:col>
      <xdr:colOff>2787015</xdr:colOff>
      <xdr:row>20</xdr:row>
      <xdr:rowOff>2087880</xdr:rowOff>
    </xdr:to>
    <xdr:pic>
      <xdr:nvPicPr>
        <xdr:cNvPr id="21" name="Picture 20">
          <a:extLst>
            <a:ext uri="{FF2B5EF4-FFF2-40B4-BE49-F238E27FC236}">
              <a16:creationId xmlns:a16="http://schemas.microsoft.com/office/drawing/2014/main" id="{00000000-0008-0000-0B00-000015000000}"/>
            </a:ext>
          </a:extLst>
        </xdr:cNvPr>
        <xdr:cNvPicPr>
          <a:picLocks noChangeAspect="1"/>
        </xdr:cNvPicPr>
      </xdr:nvPicPr>
      <xdr:blipFill>
        <a:blip xmlns:r="http://schemas.openxmlformats.org/officeDocument/2006/relationships" r:embed="rId26"/>
        <a:stretch>
          <a:fillRect/>
        </a:stretch>
      </xdr:blipFill>
      <xdr:spPr>
        <a:xfrm>
          <a:off x="4657725" y="23907750"/>
          <a:ext cx="2682240" cy="2011680"/>
        </a:xfrm>
        <a:prstGeom prst="rect">
          <a:avLst/>
        </a:prstGeom>
      </xdr:spPr>
    </xdr:pic>
    <xdr:clientData/>
  </xdr:twoCellAnchor>
  <xdr:twoCellAnchor editAs="oneCell">
    <xdr:from>
      <xdr:col>5</xdr:col>
      <xdr:colOff>114300</xdr:colOff>
      <xdr:row>20</xdr:row>
      <xdr:rowOff>95250</xdr:rowOff>
    </xdr:from>
    <xdr:to>
      <xdr:col>5</xdr:col>
      <xdr:colOff>2796540</xdr:colOff>
      <xdr:row>20</xdr:row>
      <xdr:rowOff>2106930</xdr:rowOff>
    </xdr:to>
    <xdr:pic>
      <xdr:nvPicPr>
        <xdr:cNvPr id="22" name="Picture 21">
          <a:extLst>
            <a:ext uri="{FF2B5EF4-FFF2-40B4-BE49-F238E27FC236}">
              <a16:creationId xmlns:a16="http://schemas.microsoft.com/office/drawing/2014/main" id="{00000000-0008-0000-0B00-000016000000}"/>
            </a:ext>
          </a:extLst>
        </xdr:cNvPr>
        <xdr:cNvPicPr>
          <a:picLocks noChangeAspect="1"/>
        </xdr:cNvPicPr>
      </xdr:nvPicPr>
      <xdr:blipFill>
        <a:blip xmlns:r="http://schemas.openxmlformats.org/officeDocument/2006/relationships" r:embed="rId27"/>
        <a:stretch>
          <a:fillRect/>
        </a:stretch>
      </xdr:blipFill>
      <xdr:spPr>
        <a:xfrm>
          <a:off x="7515225" y="23926800"/>
          <a:ext cx="2682240" cy="2011680"/>
        </a:xfrm>
        <a:prstGeom prst="rect">
          <a:avLst/>
        </a:prstGeom>
      </xdr:spPr>
    </xdr:pic>
    <xdr:clientData/>
  </xdr:twoCellAnchor>
  <xdr:twoCellAnchor editAs="oneCell">
    <xdr:from>
      <xdr:col>6</xdr:col>
      <xdr:colOff>85725</xdr:colOff>
      <xdr:row>20</xdr:row>
      <xdr:rowOff>114300</xdr:rowOff>
    </xdr:from>
    <xdr:to>
      <xdr:col>6</xdr:col>
      <xdr:colOff>2767965</xdr:colOff>
      <xdr:row>20</xdr:row>
      <xdr:rowOff>2125980</xdr:rowOff>
    </xdr:to>
    <xdr:pic>
      <xdr:nvPicPr>
        <xdr:cNvPr id="23" name="Picture 22">
          <a:extLst>
            <a:ext uri="{FF2B5EF4-FFF2-40B4-BE49-F238E27FC236}">
              <a16:creationId xmlns:a16="http://schemas.microsoft.com/office/drawing/2014/main" id="{00000000-0008-0000-0B00-000017000000}"/>
            </a:ext>
          </a:extLst>
        </xdr:cNvPr>
        <xdr:cNvPicPr>
          <a:picLocks noChangeAspect="1"/>
        </xdr:cNvPicPr>
      </xdr:nvPicPr>
      <xdr:blipFill>
        <a:blip xmlns:r="http://schemas.openxmlformats.org/officeDocument/2006/relationships" r:embed="rId28"/>
        <a:stretch>
          <a:fillRect/>
        </a:stretch>
      </xdr:blipFill>
      <xdr:spPr>
        <a:xfrm>
          <a:off x="10353675" y="23945850"/>
          <a:ext cx="2682240" cy="2011680"/>
        </a:xfrm>
        <a:prstGeom prst="rect">
          <a:avLst/>
        </a:prstGeom>
      </xdr:spPr>
    </xdr:pic>
    <xdr:clientData/>
  </xdr:twoCellAnchor>
  <xdr:twoCellAnchor editAs="oneCell">
    <xdr:from>
      <xdr:col>6</xdr:col>
      <xdr:colOff>76200</xdr:colOff>
      <xdr:row>14</xdr:row>
      <xdr:rowOff>57150</xdr:rowOff>
    </xdr:from>
    <xdr:to>
      <xdr:col>6</xdr:col>
      <xdr:colOff>2758440</xdr:colOff>
      <xdr:row>14</xdr:row>
      <xdr:rowOff>2068830</xdr:rowOff>
    </xdr:to>
    <xdr:pic>
      <xdr:nvPicPr>
        <xdr:cNvPr id="24" name="Picture 23">
          <a:extLst>
            <a:ext uri="{FF2B5EF4-FFF2-40B4-BE49-F238E27FC236}">
              <a16:creationId xmlns:a16="http://schemas.microsoft.com/office/drawing/2014/main" id="{00000000-0008-0000-0B00-000018000000}"/>
            </a:ext>
          </a:extLst>
        </xdr:cNvPr>
        <xdr:cNvPicPr>
          <a:picLocks noChangeAspect="1"/>
        </xdr:cNvPicPr>
      </xdr:nvPicPr>
      <xdr:blipFill>
        <a:blip xmlns:r="http://schemas.openxmlformats.org/officeDocument/2006/relationships" r:embed="rId29"/>
        <a:stretch>
          <a:fillRect/>
        </a:stretch>
      </xdr:blipFill>
      <xdr:spPr>
        <a:xfrm>
          <a:off x="10344150" y="13754100"/>
          <a:ext cx="2682240" cy="2011680"/>
        </a:xfrm>
        <a:prstGeom prst="rect">
          <a:avLst/>
        </a:prstGeom>
      </xdr:spPr>
    </xdr:pic>
    <xdr:clientData/>
  </xdr:twoCellAnchor>
  <xdr:twoCellAnchor editAs="oneCell">
    <xdr:from>
      <xdr:col>5</xdr:col>
      <xdr:colOff>95250</xdr:colOff>
      <xdr:row>14</xdr:row>
      <xdr:rowOff>76200</xdr:rowOff>
    </xdr:from>
    <xdr:to>
      <xdr:col>5</xdr:col>
      <xdr:colOff>2777490</xdr:colOff>
      <xdr:row>14</xdr:row>
      <xdr:rowOff>2087880</xdr:rowOff>
    </xdr:to>
    <xdr:pic>
      <xdr:nvPicPr>
        <xdr:cNvPr id="26" name="Picture 25">
          <a:extLst>
            <a:ext uri="{FF2B5EF4-FFF2-40B4-BE49-F238E27FC236}">
              <a16:creationId xmlns:a16="http://schemas.microsoft.com/office/drawing/2014/main" id="{00000000-0008-0000-0B00-00001A000000}"/>
            </a:ext>
          </a:extLst>
        </xdr:cNvPr>
        <xdr:cNvPicPr>
          <a:picLocks noChangeAspect="1"/>
        </xdr:cNvPicPr>
      </xdr:nvPicPr>
      <xdr:blipFill>
        <a:blip xmlns:r="http://schemas.openxmlformats.org/officeDocument/2006/relationships" r:embed="rId30"/>
        <a:stretch>
          <a:fillRect/>
        </a:stretch>
      </xdr:blipFill>
      <xdr:spPr>
        <a:xfrm>
          <a:off x="7496175" y="13773150"/>
          <a:ext cx="2682240" cy="2011680"/>
        </a:xfrm>
        <a:prstGeom prst="rect">
          <a:avLst/>
        </a:prstGeom>
      </xdr:spPr>
    </xdr:pic>
    <xdr:clientData/>
  </xdr:twoCellAnchor>
  <xdr:twoCellAnchor editAs="oneCell">
    <xdr:from>
      <xdr:col>4</xdr:col>
      <xdr:colOff>66675</xdr:colOff>
      <xdr:row>14</xdr:row>
      <xdr:rowOff>76200</xdr:rowOff>
    </xdr:from>
    <xdr:to>
      <xdr:col>4</xdr:col>
      <xdr:colOff>2748915</xdr:colOff>
      <xdr:row>14</xdr:row>
      <xdr:rowOff>2087880</xdr:rowOff>
    </xdr:to>
    <xdr:pic>
      <xdr:nvPicPr>
        <xdr:cNvPr id="27" name="Picture 26">
          <a:extLst>
            <a:ext uri="{FF2B5EF4-FFF2-40B4-BE49-F238E27FC236}">
              <a16:creationId xmlns:a16="http://schemas.microsoft.com/office/drawing/2014/main" id="{00000000-0008-0000-0B00-00001B000000}"/>
            </a:ext>
          </a:extLst>
        </xdr:cNvPr>
        <xdr:cNvPicPr>
          <a:picLocks noChangeAspect="1"/>
        </xdr:cNvPicPr>
      </xdr:nvPicPr>
      <xdr:blipFill>
        <a:blip xmlns:r="http://schemas.openxmlformats.org/officeDocument/2006/relationships" r:embed="rId31"/>
        <a:stretch>
          <a:fillRect/>
        </a:stretch>
      </xdr:blipFill>
      <xdr:spPr>
        <a:xfrm>
          <a:off x="4619625" y="13773150"/>
          <a:ext cx="2682240" cy="2011680"/>
        </a:xfrm>
        <a:prstGeom prst="rect">
          <a:avLst/>
        </a:prstGeom>
      </xdr:spPr>
    </xdr:pic>
    <xdr:clientData/>
  </xdr:twoCellAnchor>
  <xdr:twoCellAnchor editAs="oneCell">
    <xdr:from>
      <xdr:col>3</xdr:col>
      <xdr:colOff>57150</xdr:colOff>
      <xdr:row>14</xdr:row>
      <xdr:rowOff>85725</xdr:rowOff>
    </xdr:from>
    <xdr:to>
      <xdr:col>3</xdr:col>
      <xdr:colOff>2739390</xdr:colOff>
      <xdr:row>14</xdr:row>
      <xdr:rowOff>2097405</xdr:rowOff>
    </xdr:to>
    <xdr:pic>
      <xdr:nvPicPr>
        <xdr:cNvPr id="28" name="Picture 27">
          <a:extLst>
            <a:ext uri="{FF2B5EF4-FFF2-40B4-BE49-F238E27FC236}">
              <a16:creationId xmlns:a16="http://schemas.microsoft.com/office/drawing/2014/main" id="{00000000-0008-0000-0B00-00001C000000}"/>
            </a:ext>
          </a:extLst>
        </xdr:cNvPr>
        <xdr:cNvPicPr>
          <a:picLocks noChangeAspect="1"/>
        </xdr:cNvPicPr>
      </xdr:nvPicPr>
      <xdr:blipFill>
        <a:blip xmlns:r="http://schemas.openxmlformats.org/officeDocument/2006/relationships" r:embed="rId32"/>
        <a:stretch>
          <a:fillRect/>
        </a:stretch>
      </xdr:blipFill>
      <xdr:spPr>
        <a:xfrm>
          <a:off x="1809750" y="13782675"/>
          <a:ext cx="2682240" cy="2011680"/>
        </a:xfrm>
        <a:prstGeom prst="rect">
          <a:avLst/>
        </a:prstGeom>
      </xdr:spPr>
    </xdr:pic>
    <xdr:clientData/>
  </xdr:twoCellAnchor>
  <xdr:twoCellAnchor editAs="oneCell">
    <xdr:from>
      <xdr:col>3</xdr:col>
      <xdr:colOff>66675</xdr:colOff>
      <xdr:row>16</xdr:row>
      <xdr:rowOff>57150</xdr:rowOff>
    </xdr:from>
    <xdr:to>
      <xdr:col>3</xdr:col>
      <xdr:colOff>2748915</xdr:colOff>
      <xdr:row>16</xdr:row>
      <xdr:rowOff>2068830</xdr:rowOff>
    </xdr:to>
    <xdr:pic>
      <xdr:nvPicPr>
        <xdr:cNvPr id="36" name="Picture 35">
          <a:extLst>
            <a:ext uri="{FF2B5EF4-FFF2-40B4-BE49-F238E27FC236}">
              <a16:creationId xmlns:a16="http://schemas.microsoft.com/office/drawing/2014/main" id="{00000000-0008-0000-0B00-000024000000}"/>
            </a:ext>
          </a:extLst>
        </xdr:cNvPr>
        <xdr:cNvPicPr>
          <a:picLocks noChangeAspect="1"/>
        </xdr:cNvPicPr>
      </xdr:nvPicPr>
      <xdr:blipFill>
        <a:blip xmlns:r="http://schemas.openxmlformats.org/officeDocument/2006/relationships" r:embed="rId33"/>
        <a:stretch>
          <a:fillRect/>
        </a:stretch>
      </xdr:blipFill>
      <xdr:spPr>
        <a:xfrm>
          <a:off x="1819275" y="16297275"/>
          <a:ext cx="2682240" cy="2011680"/>
        </a:xfrm>
        <a:prstGeom prst="rect">
          <a:avLst/>
        </a:prstGeom>
      </xdr:spPr>
    </xdr:pic>
    <xdr:clientData/>
  </xdr:twoCellAnchor>
  <xdr:twoCellAnchor editAs="oneCell">
    <xdr:from>
      <xdr:col>4</xdr:col>
      <xdr:colOff>95250</xdr:colOff>
      <xdr:row>16</xdr:row>
      <xdr:rowOff>66674</xdr:rowOff>
    </xdr:from>
    <xdr:to>
      <xdr:col>4</xdr:col>
      <xdr:colOff>2777490</xdr:colOff>
      <xdr:row>16</xdr:row>
      <xdr:rowOff>2078354</xdr:rowOff>
    </xdr:to>
    <xdr:pic>
      <xdr:nvPicPr>
        <xdr:cNvPr id="37" name="Picture 36">
          <a:extLst>
            <a:ext uri="{FF2B5EF4-FFF2-40B4-BE49-F238E27FC236}">
              <a16:creationId xmlns:a16="http://schemas.microsoft.com/office/drawing/2014/main" id="{00000000-0008-0000-0B00-000025000000}"/>
            </a:ext>
          </a:extLst>
        </xdr:cNvPr>
        <xdr:cNvPicPr>
          <a:picLocks noChangeAspect="1"/>
        </xdr:cNvPicPr>
      </xdr:nvPicPr>
      <xdr:blipFill>
        <a:blip xmlns:r="http://schemas.openxmlformats.org/officeDocument/2006/relationships" r:embed="rId34"/>
        <a:stretch>
          <a:fillRect/>
        </a:stretch>
      </xdr:blipFill>
      <xdr:spPr>
        <a:xfrm>
          <a:off x="4648200" y="16306799"/>
          <a:ext cx="2682240" cy="2011680"/>
        </a:xfrm>
        <a:prstGeom prst="rect">
          <a:avLst/>
        </a:prstGeom>
      </xdr:spPr>
    </xdr:pic>
    <xdr:clientData/>
  </xdr:twoCellAnchor>
  <xdr:twoCellAnchor editAs="oneCell">
    <xdr:from>
      <xdr:col>5</xdr:col>
      <xdr:colOff>142875</xdr:colOff>
      <xdr:row>16</xdr:row>
      <xdr:rowOff>66674</xdr:rowOff>
    </xdr:from>
    <xdr:to>
      <xdr:col>5</xdr:col>
      <xdr:colOff>2825115</xdr:colOff>
      <xdr:row>16</xdr:row>
      <xdr:rowOff>2078354</xdr:rowOff>
    </xdr:to>
    <xdr:pic>
      <xdr:nvPicPr>
        <xdr:cNvPr id="38" name="Picture 37">
          <a:extLst>
            <a:ext uri="{FF2B5EF4-FFF2-40B4-BE49-F238E27FC236}">
              <a16:creationId xmlns:a16="http://schemas.microsoft.com/office/drawing/2014/main" id="{00000000-0008-0000-0B00-000026000000}"/>
            </a:ext>
          </a:extLst>
        </xdr:cNvPr>
        <xdr:cNvPicPr>
          <a:picLocks noChangeAspect="1"/>
        </xdr:cNvPicPr>
      </xdr:nvPicPr>
      <xdr:blipFill>
        <a:blip xmlns:r="http://schemas.openxmlformats.org/officeDocument/2006/relationships" r:embed="rId35"/>
        <a:stretch>
          <a:fillRect/>
        </a:stretch>
      </xdr:blipFill>
      <xdr:spPr>
        <a:xfrm>
          <a:off x="7543800" y="16306799"/>
          <a:ext cx="2682240" cy="2011680"/>
        </a:xfrm>
        <a:prstGeom prst="rect">
          <a:avLst/>
        </a:prstGeom>
      </xdr:spPr>
    </xdr:pic>
    <xdr:clientData/>
  </xdr:twoCellAnchor>
  <xdr:twoCellAnchor editAs="oneCell">
    <xdr:from>
      <xdr:col>6</xdr:col>
      <xdr:colOff>104775</xdr:colOff>
      <xdr:row>16</xdr:row>
      <xdr:rowOff>57150</xdr:rowOff>
    </xdr:from>
    <xdr:to>
      <xdr:col>6</xdr:col>
      <xdr:colOff>2787015</xdr:colOff>
      <xdr:row>16</xdr:row>
      <xdr:rowOff>2068830</xdr:rowOff>
    </xdr:to>
    <xdr:pic>
      <xdr:nvPicPr>
        <xdr:cNvPr id="39" name="Picture 38">
          <a:extLst>
            <a:ext uri="{FF2B5EF4-FFF2-40B4-BE49-F238E27FC236}">
              <a16:creationId xmlns:a16="http://schemas.microsoft.com/office/drawing/2014/main" id="{00000000-0008-0000-0B00-000027000000}"/>
            </a:ext>
          </a:extLst>
        </xdr:cNvPr>
        <xdr:cNvPicPr>
          <a:picLocks noChangeAspect="1"/>
        </xdr:cNvPicPr>
      </xdr:nvPicPr>
      <xdr:blipFill>
        <a:blip xmlns:r="http://schemas.openxmlformats.org/officeDocument/2006/relationships" r:embed="rId36"/>
        <a:stretch>
          <a:fillRect/>
        </a:stretch>
      </xdr:blipFill>
      <xdr:spPr>
        <a:xfrm>
          <a:off x="10372725" y="16297275"/>
          <a:ext cx="2682240" cy="201168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oneCellAnchor>
    <xdr:from>
      <xdr:col>2</xdr:col>
      <xdr:colOff>180975</xdr:colOff>
      <xdr:row>1</xdr:row>
      <xdr:rowOff>23812</xdr:rowOff>
    </xdr:from>
    <xdr:ext cx="65" cy="172227"/>
    <xdr:sp macro="" textlink="">
      <xdr:nvSpPr>
        <xdr:cNvPr id="2" name="TextBox 1">
          <a:extLst>
            <a:ext uri="{FF2B5EF4-FFF2-40B4-BE49-F238E27FC236}">
              <a16:creationId xmlns:a16="http://schemas.microsoft.com/office/drawing/2014/main" id="{00000000-0008-0000-0F00-000002000000}"/>
            </a:ext>
          </a:extLst>
        </xdr:cNvPr>
        <xdr:cNvSpPr txBox="1"/>
      </xdr:nvSpPr>
      <xdr:spPr>
        <a:xfrm>
          <a:off x="2238375" y="214312"/>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US" sz="1100"/>
        </a:p>
      </xdr:txBody>
    </xdr:sp>
    <xdr:clientData/>
  </xdr:oneCellAnchor>
  <xdr:oneCellAnchor>
    <xdr:from>
      <xdr:col>4</xdr:col>
      <xdr:colOff>457200</xdr:colOff>
      <xdr:row>2</xdr:row>
      <xdr:rowOff>23812</xdr:rowOff>
    </xdr:from>
    <xdr:ext cx="65" cy="172227"/>
    <xdr:sp macro="" textlink="">
      <xdr:nvSpPr>
        <xdr:cNvPr id="3" name="TextBox 2">
          <a:extLst>
            <a:ext uri="{FF2B5EF4-FFF2-40B4-BE49-F238E27FC236}">
              <a16:creationId xmlns:a16="http://schemas.microsoft.com/office/drawing/2014/main" id="{00000000-0008-0000-0F00-000003000000}"/>
            </a:ext>
          </a:extLst>
        </xdr:cNvPr>
        <xdr:cNvSpPr txBox="1"/>
      </xdr:nvSpPr>
      <xdr:spPr>
        <a:xfrm>
          <a:off x="3733800" y="404812"/>
          <a:ext cx="6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endParaRPr lang="en-US" sz="1100"/>
        </a:p>
      </xdr:txBody>
    </xdr:sp>
    <xdr:clientData/>
  </xdr:oneCellAnchor>
  <xdr:twoCellAnchor editAs="oneCell">
    <xdr:from>
      <xdr:col>5</xdr:col>
      <xdr:colOff>114301</xdr:colOff>
      <xdr:row>2</xdr:row>
      <xdr:rowOff>123826</xdr:rowOff>
    </xdr:from>
    <xdr:to>
      <xdr:col>5</xdr:col>
      <xdr:colOff>1485901</xdr:colOff>
      <xdr:row>2</xdr:row>
      <xdr:rowOff>938214</xdr:rowOff>
    </xdr:to>
    <xdr:pic>
      <xdr:nvPicPr>
        <xdr:cNvPr id="4" name="Picture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1"/>
        <a:stretch>
          <a:fillRect/>
        </a:stretch>
      </xdr:blipFill>
      <xdr:spPr>
        <a:xfrm>
          <a:off x="4000501" y="838201"/>
          <a:ext cx="1371600" cy="814388"/>
        </a:xfrm>
        <a:prstGeom prst="rect">
          <a:avLst/>
        </a:prstGeom>
      </xdr:spPr>
    </xdr:pic>
    <xdr:clientData/>
  </xdr:twoCellAnchor>
  <xdr:twoCellAnchor editAs="oneCell">
    <xdr:from>
      <xdr:col>5</xdr:col>
      <xdr:colOff>57150</xdr:colOff>
      <xdr:row>1</xdr:row>
      <xdr:rowOff>57150</xdr:rowOff>
    </xdr:from>
    <xdr:to>
      <xdr:col>5</xdr:col>
      <xdr:colOff>1504673</xdr:colOff>
      <xdr:row>2</xdr:row>
      <xdr:rowOff>0</xdr:rowOff>
    </xdr:to>
    <xdr:pic>
      <xdr:nvPicPr>
        <xdr:cNvPr id="5" name="Picture 4">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2"/>
        <a:stretch>
          <a:fillRect/>
        </a:stretch>
      </xdr:blipFill>
      <xdr:spPr>
        <a:xfrm>
          <a:off x="3943350" y="247650"/>
          <a:ext cx="1447523" cy="466725"/>
        </a:xfrm>
        <a:prstGeom prst="rect">
          <a:avLst/>
        </a:prstGeom>
      </xdr:spPr>
    </xdr:pic>
    <xdr:clientData/>
  </xdr:twoCellAnchor>
  <xdr:twoCellAnchor editAs="oneCell">
    <xdr:from>
      <xdr:col>14</xdr:col>
      <xdr:colOff>180976</xdr:colOff>
      <xdr:row>1</xdr:row>
      <xdr:rowOff>47626</xdr:rowOff>
    </xdr:from>
    <xdr:to>
      <xdr:col>18</xdr:col>
      <xdr:colOff>409576</xdr:colOff>
      <xdr:row>1</xdr:row>
      <xdr:rowOff>481470</xdr:rowOff>
    </xdr:to>
    <xdr:pic>
      <xdr:nvPicPr>
        <xdr:cNvPr id="6" name="Picture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3"/>
        <a:stretch>
          <a:fillRect/>
        </a:stretch>
      </xdr:blipFill>
      <xdr:spPr>
        <a:xfrm>
          <a:off x="12896851" y="238126"/>
          <a:ext cx="2667000" cy="433844"/>
        </a:xfrm>
        <a:prstGeom prst="rect">
          <a:avLst/>
        </a:prstGeom>
      </xdr:spPr>
    </xdr:pic>
    <xdr:clientData/>
  </xdr:twoCellAnchor>
  <xdr:twoCellAnchor editAs="oneCell">
    <xdr:from>
      <xdr:col>14</xdr:col>
      <xdr:colOff>28575</xdr:colOff>
      <xdr:row>2</xdr:row>
      <xdr:rowOff>331618</xdr:rowOff>
    </xdr:from>
    <xdr:to>
      <xdr:col>20</xdr:col>
      <xdr:colOff>598817</xdr:colOff>
      <xdr:row>2</xdr:row>
      <xdr:rowOff>647606</xdr:rowOff>
    </xdr:to>
    <xdr:pic>
      <xdr:nvPicPr>
        <xdr:cNvPr id="8" name="Picture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4"/>
        <a:stretch>
          <a:fillRect/>
        </a:stretch>
      </xdr:blipFill>
      <xdr:spPr>
        <a:xfrm>
          <a:off x="12744450" y="1045993"/>
          <a:ext cx="4227842" cy="315988"/>
        </a:xfrm>
        <a:prstGeom prst="rect">
          <a:avLst/>
        </a:prstGeom>
      </xdr:spPr>
    </xdr:pic>
    <xdr:clientData/>
  </xdr:twoCellAnchor>
  <xdr:twoCellAnchor editAs="oneCell">
    <xdr:from>
      <xdr:col>5</xdr:col>
      <xdr:colOff>66675</xdr:colOff>
      <xdr:row>12</xdr:row>
      <xdr:rowOff>100615</xdr:rowOff>
    </xdr:from>
    <xdr:to>
      <xdr:col>5</xdr:col>
      <xdr:colOff>2286000</xdr:colOff>
      <xdr:row>12</xdr:row>
      <xdr:rowOff>1024579</xdr:rowOff>
    </xdr:to>
    <xdr:pic>
      <xdr:nvPicPr>
        <xdr:cNvPr id="9" name="Picture 8">
          <a:extLst>
            <a:ext uri="{FF2B5EF4-FFF2-40B4-BE49-F238E27FC236}">
              <a16:creationId xmlns:a16="http://schemas.microsoft.com/office/drawing/2014/main" id="{00000000-0008-0000-0F00-000009000000}"/>
            </a:ext>
          </a:extLst>
        </xdr:cNvPr>
        <xdr:cNvPicPr>
          <a:picLocks noChangeAspect="1"/>
        </xdr:cNvPicPr>
      </xdr:nvPicPr>
      <xdr:blipFill>
        <a:blip xmlns:r="http://schemas.openxmlformats.org/officeDocument/2006/relationships" r:embed="rId5"/>
        <a:stretch>
          <a:fillRect/>
        </a:stretch>
      </xdr:blipFill>
      <xdr:spPr>
        <a:xfrm>
          <a:off x="4800600" y="5939440"/>
          <a:ext cx="2219325" cy="923964"/>
        </a:xfrm>
        <a:prstGeom prst="rect">
          <a:avLst/>
        </a:prstGeom>
      </xdr:spPr>
    </xdr:pic>
    <xdr:clientData/>
  </xdr:twoCellAnchor>
  <xdr:twoCellAnchor editAs="oneCell">
    <xdr:from>
      <xdr:col>5</xdr:col>
      <xdr:colOff>257175</xdr:colOff>
      <xdr:row>16</xdr:row>
      <xdr:rowOff>114300</xdr:rowOff>
    </xdr:from>
    <xdr:to>
      <xdr:col>5</xdr:col>
      <xdr:colOff>2085746</xdr:colOff>
      <xdr:row>16</xdr:row>
      <xdr:rowOff>819062</xdr:rowOff>
    </xdr:to>
    <xdr:pic>
      <xdr:nvPicPr>
        <xdr:cNvPr id="10" name="Picture 9">
          <a:extLst>
            <a:ext uri="{FF2B5EF4-FFF2-40B4-BE49-F238E27FC236}">
              <a16:creationId xmlns:a16="http://schemas.microsoft.com/office/drawing/2014/main" id="{00000000-0008-0000-0F00-00000A000000}"/>
            </a:ext>
          </a:extLst>
        </xdr:cNvPr>
        <xdr:cNvPicPr>
          <a:picLocks noChangeAspect="1"/>
        </xdr:cNvPicPr>
      </xdr:nvPicPr>
      <xdr:blipFill>
        <a:blip xmlns:r="http://schemas.openxmlformats.org/officeDocument/2006/relationships" r:embed="rId6"/>
        <a:stretch>
          <a:fillRect/>
        </a:stretch>
      </xdr:blipFill>
      <xdr:spPr>
        <a:xfrm>
          <a:off x="4991100" y="10410825"/>
          <a:ext cx="1828571" cy="704762"/>
        </a:xfrm>
        <a:prstGeom prst="rect">
          <a:avLst/>
        </a:prstGeom>
      </xdr:spPr>
    </xdr:pic>
    <xdr:clientData/>
  </xdr:twoCellAnchor>
  <xdr:twoCellAnchor editAs="oneCell">
    <xdr:from>
      <xdr:col>5</xdr:col>
      <xdr:colOff>47626</xdr:colOff>
      <xdr:row>15</xdr:row>
      <xdr:rowOff>47625</xdr:rowOff>
    </xdr:from>
    <xdr:to>
      <xdr:col>5</xdr:col>
      <xdr:colOff>2257426</xdr:colOff>
      <xdr:row>15</xdr:row>
      <xdr:rowOff>1387678</xdr:rowOff>
    </xdr:to>
    <xdr:pic>
      <xdr:nvPicPr>
        <xdr:cNvPr id="11" name="Picture 10">
          <a:extLst>
            <a:ext uri="{FF2B5EF4-FFF2-40B4-BE49-F238E27FC236}">
              <a16:creationId xmlns:a16="http://schemas.microsoft.com/office/drawing/2014/main" id="{00000000-0008-0000-0F00-00000B000000}"/>
            </a:ext>
          </a:extLst>
        </xdr:cNvPr>
        <xdr:cNvPicPr>
          <a:picLocks noChangeAspect="1"/>
        </xdr:cNvPicPr>
      </xdr:nvPicPr>
      <xdr:blipFill>
        <a:blip xmlns:r="http://schemas.openxmlformats.org/officeDocument/2006/relationships" r:embed="rId7"/>
        <a:stretch>
          <a:fillRect/>
        </a:stretch>
      </xdr:blipFill>
      <xdr:spPr>
        <a:xfrm>
          <a:off x="4781551" y="8848725"/>
          <a:ext cx="2209800" cy="134005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10</xdr:col>
      <xdr:colOff>419100</xdr:colOff>
      <xdr:row>21</xdr:row>
      <xdr:rowOff>64306</xdr:rowOff>
    </xdr:from>
    <xdr:to>
      <xdr:col>13</xdr:col>
      <xdr:colOff>504826</xdr:colOff>
      <xdr:row>21</xdr:row>
      <xdr:rowOff>1973255</xdr:rowOff>
    </xdr:to>
    <xdr:pic>
      <xdr:nvPicPr>
        <xdr:cNvPr id="10" name="Picture 9">
          <a:extLst>
            <a:ext uri="{FF2B5EF4-FFF2-40B4-BE49-F238E27FC236}">
              <a16:creationId xmlns:a16="http://schemas.microsoft.com/office/drawing/2014/main" id="{00000000-0008-0000-1300-00000A000000}"/>
            </a:ext>
          </a:extLst>
        </xdr:cNvPr>
        <xdr:cNvPicPr>
          <a:picLocks noChangeAspect="1"/>
        </xdr:cNvPicPr>
      </xdr:nvPicPr>
      <xdr:blipFill>
        <a:blip xmlns:r="http://schemas.openxmlformats.org/officeDocument/2006/relationships" r:embed="rId1"/>
        <a:stretch>
          <a:fillRect/>
        </a:stretch>
      </xdr:blipFill>
      <xdr:spPr>
        <a:xfrm>
          <a:off x="8162925" y="11056156"/>
          <a:ext cx="2505076" cy="1908949"/>
        </a:xfrm>
        <a:prstGeom prst="rect">
          <a:avLst/>
        </a:prstGeom>
      </xdr:spPr>
    </xdr:pic>
    <xdr:clientData/>
  </xdr:twoCellAnchor>
  <xdr:twoCellAnchor editAs="oneCell">
    <xdr:from>
      <xdr:col>12</xdr:col>
      <xdr:colOff>9525</xdr:colOff>
      <xdr:row>20</xdr:row>
      <xdr:rowOff>66675</xdr:rowOff>
    </xdr:from>
    <xdr:to>
      <xdr:col>13</xdr:col>
      <xdr:colOff>559574</xdr:colOff>
      <xdr:row>20</xdr:row>
      <xdr:rowOff>1895475</xdr:rowOff>
    </xdr:to>
    <xdr:pic>
      <xdr:nvPicPr>
        <xdr:cNvPr id="12" name="Picture 11">
          <a:extLst>
            <a:ext uri="{FF2B5EF4-FFF2-40B4-BE49-F238E27FC236}">
              <a16:creationId xmlns:a16="http://schemas.microsoft.com/office/drawing/2014/main" id="{00000000-0008-0000-1300-00000C000000}"/>
            </a:ext>
          </a:extLst>
        </xdr:cNvPr>
        <xdr:cNvPicPr>
          <a:picLocks noChangeAspect="1"/>
        </xdr:cNvPicPr>
      </xdr:nvPicPr>
      <xdr:blipFill>
        <a:blip xmlns:r="http://schemas.openxmlformats.org/officeDocument/2006/relationships" r:embed="rId2"/>
        <a:stretch>
          <a:fillRect/>
        </a:stretch>
      </xdr:blipFill>
      <xdr:spPr>
        <a:xfrm>
          <a:off x="9334500" y="9105900"/>
          <a:ext cx="1388249" cy="1828800"/>
        </a:xfrm>
        <a:prstGeom prst="rect">
          <a:avLst/>
        </a:prstGeom>
      </xdr:spPr>
    </xdr:pic>
    <xdr:clientData/>
  </xdr:twoCellAnchor>
  <xdr:twoCellAnchor editAs="oneCell">
    <xdr:from>
      <xdr:col>8</xdr:col>
      <xdr:colOff>390525</xdr:colOff>
      <xdr:row>20</xdr:row>
      <xdr:rowOff>66675</xdr:rowOff>
    </xdr:from>
    <xdr:to>
      <xdr:col>10</xdr:col>
      <xdr:colOff>216674</xdr:colOff>
      <xdr:row>20</xdr:row>
      <xdr:rowOff>1895475</xdr:rowOff>
    </xdr:to>
    <xdr:pic>
      <xdr:nvPicPr>
        <xdr:cNvPr id="13" name="Picture 12">
          <a:extLst>
            <a:ext uri="{FF2B5EF4-FFF2-40B4-BE49-F238E27FC236}">
              <a16:creationId xmlns:a16="http://schemas.microsoft.com/office/drawing/2014/main" id="{00000000-0008-0000-1300-00000D000000}"/>
            </a:ext>
          </a:extLst>
        </xdr:cNvPr>
        <xdr:cNvPicPr>
          <a:picLocks noChangeAspect="1"/>
        </xdr:cNvPicPr>
      </xdr:nvPicPr>
      <xdr:blipFill>
        <a:blip xmlns:r="http://schemas.openxmlformats.org/officeDocument/2006/relationships" r:embed="rId3"/>
        <a:stretch>
          <a:fillRect/>
        </a:stretch>
      </xdr:blipFill>
      <xdr:spPr>
        <a:xfrm>
          <a:off x="6572250" y="9105900"/>
          <a:ext cx="1388249" cy="1828800"/>
        </a:xfrm>
        <a:prstGeom prst="rect">
          <a:avLst/>
        </a:prstGeom>
      </xdr:spPr>
    </xdr:pic>
    <xdr:clientData/>
  </xdr:twoCellAnchor>
  <xdr:oneCellAnchor>
    <xdr:from>
      <xdr:col>10</xdr:col>
      <xdr:colOff>219075</xdr:colOff>
      <xdr:row>20</xdr:row>
      <xdr:rowOff>819150</xdr:rowOff>
    </xdr:from>
    <xdr:ext cx="1224694" cy="342786"/>
    <xdr:sp macro="" textlink="">
      <xdr:nvSpPr>
        <xdr:cNvPr id="14" name="TextBox 13">
          <a:extLst>
            <a:ext uri="{FF2B5EF4-FFF2-40B4-BE49-F238E27FC236}">
              <a16:creationId xmlns:a16="http://schemas.microsoft.com/office/drawing/2014/main" id="{00000000-0008-0000-1300-00000E000000}"/>
            </a:ext>
          </a:extLst>
        </xdr:cNvPr>
        <xdr:cNvSpPr txBox="1"/>
      </xdr:nvSpPr>
      <xdr:spPr>
        <a:xfrm>
          <a:off x="7962900" y="9858375"/>
          <a:ext cx="122469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a:solidFill>
                <a:srgbClr val="FF0000"/>
              </a:solidFill>
            </a:rPr>
            <a:t>IC SGL8022K</a:t>
          </a:r>
        </a:p>
      </xdr:txBody>
    </xdr:sp>
    <xdr:clientData/>
  </xdr:oneCellAnchor>
  <xdr:oneCellAnchor>
    <xdr:from>
      <xdr:col>13</xdr:col>
      <xdr:colOff>590550</xdr:colOff>
      <xdr:row>20</xdr:row>
      <xdr:rowOff>752475</xdr:rowOff>
    </xdr:from>
    <xdr:ext cx="1010020" cy="342786"/>
    <xdr:sp macro="" textlink="">
      <xdr:nvSpPr>
        <xdr:cNvPr id="15" name="TextBox 14">
          <a:extLst>
            <a:ext uri="{FF2B5EF4-FFF2-40B4-BE49-F238E27FC236}">
              <a16:creationId xmlns:a16="http://schemas.microsoft.com/office/drawing/2014/main" id="{00000000-0008-0000-1300-00000F000000}"/>
            </a:ext>
          </a:extLst>
        </xdr:cNvPr>
        <xdr:cNvSpPr txBox="1"/>
      </xdr:nvSpPr>
      <xdr:spPr>
        <a:xfrm>
          <a:off x="10753725" y="9791700"/>
          <a:ext cx="1010020"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a:solidFill>
                <a:srgbClr val="FF0000"/>
              </a:solidFill>
            </a:rPr>
            <a:t>IC TTP224</a:t>
          </a:r>
        </a:p>
      </xdr:txBody>
    </xdr:sp>
    <xdr:clientData/>
  </xdr:oneCellAnchor>
</xdr:wsDr>
</file>

<file path=xl/drawings/drawing2.xml><?xml version="1.0" encoding="utf-8"?>
<xdr:wsDr xmlns:xdr="http://schemas.openxmlformats.org/drawingml/2006/spreadsheetDrawing" xmlns:a="http://schemas.openxmlformats.org/drawingml/2006/main">
  <xdr:oneCellAnchor>
    <xdr:from>
      <xdr:col>6</xdr:col>
      <xdr:colOff>728215</xdr:colOff>
      <xdr:row>17</xdr:row>
      <xdr:rowOff>238856</xdr:rowOff>
    </xdr:from>
    <xdr:ext cx="1167993" cy="1246852"/>
    <xdr:pic>
      <xdr:nvPicPr>
        <xdr:cNvPr id="10" name="Picture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1"/>
        <a:stretch>
          <a:fillRect/>
        </a:stretch>
      </xdr:blipFill>
      <xdr:spPr>
        <a:xfrm>
          <a:off x="8767315" y="2324831"/>
          <a:ext cx="1167993" cy="1246852"/>
        </a:xfrm>
        <a:prstGeom prst="rect">
          <a:avLst/>
        </a:prstGeom>
      </xdr:spPr>
    </xdr:pic>
    <xdr:clientData/>
  </xdr:oneCellAnchor>
  <xdr:oneCellAnchor>
    <xdr:from>
      <xdr:col>6</xdr:col>
      <xdr:colOff>753170</xdr:colOff>
      <xdr:row>13</xdr:row>
      <xdr:rowOff>265235</xdr:rowOff>
    </xdr:from>
    <xdr:ext cx="1055463" cy="829409"/>
    <xdr:pic>
      <xdr:nvPicPr>
        <xdr:cNvPr id="11" name="Pictur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2"/>
        <a:stretch>
          <a:fillRect/>
        </a:stretch>
      </xdr:blipFill>
      <xdr:spPr>
        <a:xfrm>
          <a:off x="8792270" y="941510"/>
          <a:ext cx="1055463" cy="829409"/>
        </a:xfrm>
        <a:prstGeom prst="rect">
          <a:avLst/>
        </a:prstGeom>
      </xdr:spPr>
    </xdr:pic>
    <xdr:clientData/>
  </xdr:oneCellAnchor>
  <xdr:oneCellAnchor>
    <xdr:from>
      <xdr:col>6</xdr:col>
      <xdr:colOff>189248</xdr:colOff>
      <xdr:row>25</xdr:row>
      <xdr:rowOff>95250</xdr:rowOff>
    </xdr:from>
    <xdr:ext cx="2220328" cy="1962149"/>
    <xdr:pic>
      <xdr:nvPicPr>
        <xdr:cNvPr id="12" name="Pictur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3"/>
        <a:stretch>
          <a:fillRect/>
        </a:stretch>
      </xdr:blipFill>
      <xdr:spPr>
        <a:xfrm>
          <a:off x="7009148" y="9610725"/>
          <a:ext cx="2220328" cy="1962149"/>
        </a:xfrm>
        <a:prstGeom prst="rect">
          <a:avLst/>
        </a:prstGeom>
      </xdr:spPr>
    </xdr:pic>
    <xdr:clientData/>
  </xdr:oneCellAnchor>
  <xdr:twoCellAnchor editAs="oneCell">
    <xdr:from>
      <xdr:col>6</xdr:col>
      <xdr:colOff>123825</xdr:colOff>
      <xdr:row>36</xdr:row>
      <xdr:rowOff>64490</xdr:rowOff>
    </xdr:from>
    <xdr:to>
      <xdr:col>6</xdr:col>
      <xdr:colOff>2495550</xdr:colOff>
      <xdr:row>39</xdr:row>
      <xdr:rowOff>4849</xdr:rowOff>
    </xdr:to>
    <xdr:pic>
      <xdr:nvPicPr>
        <xdr:cNvPr id="16" name="Pictur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4"/>
        <a:stretch>
          <a:fillRect/>
        </a:stretch>
      </xdr:blipFill>
      <xdr:spPr>
        <a:xfrm>
          <a:off x="6943725" y="13770965"/>
          <a:ext cx="2371725" cy="1130984"/>
        </a:xfrm>
        <a:prstGeom prst="rect">
          <a:avLst/>
        </a:prstGeom>
      </xdr:spPr>
    </xdr:pic>
    <xdr:clientData/>
  </xdr:twoCellAnchor>
  <xdr:twoCellAnchor editAs="oneCell">
    <xdr:from>
      <xdr:col>0</xdr:col>
      <xdr:colOff>100884</xdr:colOff>
      <xdr:row>44</xdr:row>
      <xdr:rowOff>247650</xdr:rowOff>
    </xdr:from>
    <xdr:to>
      <xdr:col>3</xdr:col>
      <xdr:colOff>1274893</xdr:colOff>
      <xdr:row>47</xdr:row>
      <xdr:rowOff>504181</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5"/>
        <a:stretch>
          <a:fillRect/>
        </a:stretch>
      </xdr:blipFill>
      <xdr:spPr>
        <a:xfrm>
          <a:off x="100884" y="16516350"/>
          <a:ext cx="3726709" cy="1647181"/>
        </a:xfrm>
        <a:prstGeom prst="rect">
          <a:avLst/>
        </a:prstGeom>
      </xdr:spPr>
    </xdr:pic>
    <xdr:clientData/>
  </xdr:twoCellAnchor>
  <xdr:twoCellAnchor editAs="oneCell">
    <xdr:from>
      <xdr:col>14</xdr:col>
      <xdr:colOff>257175</xdr:colOff>
      <xdr:row>1</xdr:row>
      <xdr:rowOff>114300</xdr:rowOff>
    </xdr:from>
    <xdr:to>
      <xdr:col>23</xdr:col>
      <xdr:colOff>365847</xdr:colOff>
      <xdr:row>9</xdr:row>
      <xdr:rowOff>257175</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6"/>
        <a:stretch>
          <a:fillRect/>
        </a:stretch>
      </xdr:blipFill>
      <xdr:spPr>
        <a:xfrm>
          <a:off x="16640175" y="361950"/>
          <a:ext cx="5595072" cy="3886200"/>
        </a:xfrm>
        <a:prstGeom prst="rect">
          <a:avLst/>
        </a:prstGeom>
      </xdr:spPr>
    </xdr:pic>
    <xdr:clientData/>
  </xdr:twoCellAnchor>
  <xdr:twoCellAnchor editAs="oneCell">
    <xdr:from>
      <xdr:col>14</xdr:col>
      <xdr:colOff>390525</xdr:colOff>
      <xdr:row>12</xdr:row>
      <xdr:rowOff>95250</xdr:rowOff>
    </xdr:from>
    <xdr:to>
      <xdr:col>23</xdr:col>
      <xdr:colOff>342900</xdr:colOff>
      <xdr:row>22</xdr:row>
      <xdr:rowOff>216157</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7"/>
        <a:stretch>
          <a:fillRect/>
        </a:stretch>
      </xdr:blipFill>
      <xdr:spPr>
        <a:xfrm>
          <a:off x="16773525" y="5210175"/>
          <a:ext cx="5438775" cy="3845182"/>
        </a:xfrm>
        <a:prstGeom prst="rect">
          <a:avLst/>
        </a:prstGeom>
      </xdr:spPr>
    </xdr:pic>
    <xdr:clientData/>
  </xdr:twoCellAnchor>
  <xdr:twoCellAnchor editAs="oneCell">
    <xdr:from>
      <xdr:col>8</xdr:col>
      <xdr:colOff>171450</xdr:colOff>
      <xdr:row>12</xdr:row>
      <xdr:rowOff>123825</xdr:rowOff>
    </xdr:from>
    <xdr:to>
      <xdr:col>10</xdr:col>
      <xdr:colOff>1634490</xdr:colOff>
      <xdr:row>17</xdr:row>
      <xdr:rowOff>240030</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8"/>
        <a:stretch>
          <a:fillRect/>
        </a:stretch>
      </xdr:blipFill>
      <xdr:spPr>
        <a:xfrm>
          <a:off x="10267950" y="5238750"/>
          <a:ext cx="2682240" cy="2011680"/>
        </a:xfrm>
        <a:prstGeom prst="rect">
          <a:avLst/>
        </a:prstGeom>
      </xdr:spPr>
    </xdr:pic>
    <xdr:clientData/>
  </xdr:twoCellAnchor>
  <xdr:twoCellAnchor editAs="oneCell">
    <xdr:from>
      <xdr:col>11</xdr:col>
      <xdr:colOff>342900</xdr:colOff>
      <xdr:row>12</xdr:row>
      <xdr:rowOff>123825</xdr:rowOff>
    </xdr:from>
    <xdr:to>
      <xdr:col>13</xdr:col>
      <xdr:colOff>767715</xdr:colOff>
      <xdr:row>17</xdr:row>
      <xdr:rowOff>240030</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9"/>
        <a:stretch>
          <a:fillRect/>
        </a:stretch>
      </xdr:blipFill>
      <xdr:spPr>
        <a:xfrm>
          <a:off x="13420725" y="5238750"/>
          <a:ext cx="2682240" cy="201168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57150</xdr:colOff>
      <xdr:row>21</xdr:row>
      <xdr:rowOff>123825</xdr:rowOff>
    </xdr:from>
    <xdr:to>
      <xdr:col>7</xdr:col>
      <xdr:colOff>488170</xdr:colOff>
      <xdr:row>31</xdr:row>
      <xdr:rowOff>180975</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1"/>
        <a:stretch>
          <a:fillRect/>
        </a:stretch>
      </xdr:blipFill>
      <xdr:spPr>
        <a:xfrm>
          <a:off x="666750" y="4486275"/>
          <a:ext cx="4088620" cy="2171700"/>
        </a:xfrm>
        <a:prstGeom prst="rect">
          <a:avLst/>
        </a:prstGeom>
      </xdr:spPr>
    </xdr:pic>
    <xdr:clientData/>
  </xdr:twoCellAnchor>
  <xdr:twoCellAnchor editAs="oneCell">
    <xdr:from>
      <xdr:col>9</xdr:col>
      <xdr:colOff>609599</xdr:colOff>
      <xdr:row>22</xdr:row>
      <xdr:rowOff>70413</xdr:rowOff>
    </xdr:from>
    <xdr:to>
      <xdr:col>21</xdr:col>
      <xdr:colOff>447674</xdr:colOff>
      <xdr:row>34</xdr:row>
      <xdr:rowOff>108188</xdr:rowOff>
    </xdr:to>
    <xdr:pic>
      <xdr:nvPicPr>
        <xdr:cNvPr id="6" name="Picture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2"/>
        <a:stretch>
          <a:fillRect/>
        </a:stretch>
      </xdr:blipFill>
      <xdr:spPr>
        <a:xfrm>
          <a:off x="6095999" y="4832913"/>
          <a:ext cx="7153275" cy="2323775"/>
        </a:xfrm>
        <a:prstGeom prst="rect">
          <a:avLst/>
        </a:prstGeom>
      </xdr:spPr>
    </xdr:pic>
    <xdr:clientData/>
  </xdr:twoCellAnchor>
  <xdr:twoCellAnchor editAs="oneCell">
    <xdr:from>
      <xdr:col>1</xdr:col>
      <xdr:colOff>142875</xdr:colOff>
      <xdr:row>4</xdr:row>
      <xdr:rowOff>57151</xdr:rowOff>
    </xdr:from>
    <xdr:to>
      <xdr:col>7</xdr:col>
      <xdr:colOff>462747</xdr:colOff>
      <xdr:row>14</xdr:row>
      <xdr:rowOff>19051</xdr:rowOff>
    </xdr:to>
    <xdr:pic>
      <xdr:nvPicPr>
        <xdr:cNvPr id="3" name="Picture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3"/>
        <a:stretch>
          <a:fillRect/>
        </a:stretch>
      </xdr:blipFill>
      <xdr:spPr>
        <a:xfrm>
          <a:off x="752475" y="1028701"/>
          <a:ext cx="3977472" cy="1866900"/>
        </a:xfrm>
        <a:prstGeom prst="rect">
          <a:avLst/>
        </a:prstGeom>
      </xdr:spPr>
    </xdr:pic>
    <xdr:clientData/>
  </xdr:twoCellAnchor>
  <xdr:twoCellAnchor editAs="oneCell">
    <xdr:from>
      <xdr:col>9</xdr:col>
      <xdr:colOff>257175</xdr:colOff>
      <xdr:row>1</xdr:row>
      <xdr:rowOff>76201</xdr:rowOff>
    </xdr:from>
    <xdr:to>
      <xdr:col>22</xdr:col>
      <xdr:colOff>264762</xdr:colOff>
      <xdr:row>20</xdr:row>
      <xdr:rowOff>123825</xdr:rowOff>
    </xdr:to>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4"/>
        <a:stretch>
          <a:fillRect/>
        </a:stretch>
      </xdr:blipFill>
      <xdr:spPr>
        <a:xfrm>
          <a:off x="5743575" y="476251"/>
          <a:ext cx="7932387" cy="381952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66675</xdr:colOff>
      <xdr:row>7</xdr:row>
      <xdr:rowOff>152399</xdr:rowOff>
    </xdr:from>
    <xdr:to>
      <xdr:col>16</xdr:col>
      <xdr:colOff>566363</xdr:colOff>
      <xdr:row>15</xdr:row>
      <xdr:rowOff>161924</xdr:rowOff>
    </xdr:to>
    <xdr:pic>
      <xdr:nvPicPr>
        <xdr:cNvPr id="6" name="Picture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1"/>
        <a:stretch>
          <a:fillRect/>
        </a:stretch>
      </xdr:blipFill>
      <xdr:spPr>
        <a:xfrm>
          <a:off x="11896725" y="1885949"/>
          <a:ext cx="5376488" cy="22383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18</xdr:col>
          <xdr:colOff>57150</xdr:colOff>
          <xdr:row>12</xdr:row>
          <xdr:rowOff>257175</xdr:rowOff>
        </xdr:from>
        <xdr:to>
          <xdr:col>30</xdr:col>
          <xdr:colOff>390525</xdr:colOff>
          <xdr:row>23</xdr:row>
          <xdr:rowOff>152400</xdr:rowOff>
        </xdr:to>
        <xdr:sp macro="" textlink="">
          <xdr:nvSpPr>
            <xdr:cNvPr id="4099" name="Object 3" hidden="1">
              <a:extLst>
                <a:ext uri="{63B3BB69-23CF-44E3-9099-C40C66FF867C}">
                  <a14:compatExt spid="_x0000_s4099"/>
                </a:ext>
                <a:ext uri="{FF2B5EF4-FFF2-40B4-BE49-F238E27FC236}">
                  <a16:creationId xmlns:a16="http://schemas.microsoft.com/office/drawing/2014/main" id="{00000000-0008-0000-0400-000003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7</xdr:col>
      <xdr:colOff>259895</xdr:colOff>
      <xdr:row>41</xdr:row>
      <xdr:rowOff>340635</xdr:rowOff>
    </xdr:from>
    <xdr:to>
      <xdr:col>10</xdr:col>
      <xdr:colOff>448929</xdr:colOff>
      <xdr:row>43</xdr:row>
      <xdr:rowOff>737987</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1"/>
        <a:stretch>
          <a:fillRect/>
        </a:stretch>
      </xdr:blipFill>
      <xdr:spPr>
        <a:xfrm>
          <a:off x="4532538" y="21676635"/>
          <a:ext cx="3073748" cy="1458709"/>
        </a:xfrm>
        <a:prstGeom prst="rect">
          <a:avLst/>
        </a:prstGeom>
      </xdr:spPr>
    </xdr:pic>
    <xdr:clientData/>
  </xdr:twoCellAnchor>
  <xdr:oneCellAnchor>
    <xdr:from>
      <xdr:col>9</xdr:col>
      <xdr:colOff>179294</xdr:colOff>
      <xdr:row>30</xdr:row>
      <xdr:rowOff>164122</xdr:rowOff>
    </xdr:from>
    <xdr:ext cx="1167993" cy="1246852"/>
    <xdr:pic>
      <xdr:nvPicPr>
        <xdr:cNvPr id="6" name="Picture 5">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2"/>
        <a:stretch>
          <a:fillRect/>
        </a:stretch>
      </xdr:blipFill>
      <xdr:spPr>
        <a:xfrm>
          <a:off x="6622676" y="17365151"/>
          <a:ext cx="1167993" cy="1246852"/>
        </a:xfrm>
        <a:prstGeom prst="rect">
          <a:avLst/>
        </a:prstGeom>
      </xdr:spPr>
    </xdr:pic>
    <xdr:clientData/>
  </xdr:oneCellAnchor>
  <xdr:oneCellAnchor>
    <xdr:from>
      <xdr:col>9</xdr:col>
      <xdr:colOff>204249</xdr:colOff>
      <xdr:row>26</xdr:row>
      <xdr:rowOff>381000</xdr:rowOff>
    </xdr:from>
    <xdr:ext cx="1055463" cy="829409"/>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3"/>
        <a:stretch>
          <a:fillRect/>
        </a:stretch>
      </xdr:blipFill>
      <xdr:spPr>
        <a:xfrm>
          <a:off x="6647631" y="16002000"/>
          <a:ext cx="1055463" cy="829409"/>
        </a:xfrm>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twoCellAnchor editAs="oneCell">
    <xdr:from>
      <xdr:col>4</xdr:col>
      <xdr:colOff>66675</xdr:colOff>
      <xdr:row>10</xdr:row>
      <xdr:rowOff>28575</xdr:rowOff>
    </xdr:from>
    <xdr:to>
      <xdr:col>4</xdr:col>
      <xdr:colOff>2748915</xdr:colOff>
      <xdr:row>10</xdr:row>
      <xdr:rowOff>2040255</xdr:rowOff>
    </xdr:to>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1"/>
        <a:stretch>
          <a:fillRect/>
        </a:stretch>
      </xdr:blipFill>
      <xdr:spPr>
        <a:xfrm>
          <a:off x="6924675" y="1362075"/>
          <a:ext cx="2682240" cy="2011680"/>
        </a:xfrm>
        <a:prstGeom prst="rect">
          <a:avLst/>
        </a:prstGeom>
      </xdr:spPr>
    </xdr:pic>
    <xdr:clientData/>
  </xdr:twoCellAnchor>
  <xdr:twoCellAnchor editAs="oneCell">
    <xdr:from>
      <xdr:col>3</xdr:col>
      <xdr:colOff>85725</xdr:colOff>
      <xdr:row>10</xdr:row>
      <xdr:rowOff>57151</xdr:rowOff>
    </xdr:from>
    <xdr:to>
      <xdr:col>3</xdr:col>
      <xdr:colOff>2767965</xdr:colOff>
      <xdr:row>10</xdr:row>
      <xdr:rowOff>2068831</xdr:rowOff>
    </xdr:to>
    <xdr:pic>
      <xdr:nvPicPr>
        <xdr:cNvPr id="24" name="Picture 23">
          <a:extLst>
            <a:ext uri="{FF2B5EF4-FFF2-40B4-BE49-F238E27FC236}">
              <a16:creationId xmlns:a16="http://schemas.microsoft.com/office/drawing/2014/main" id="{00000000-0008-0000-0500-000018000000}"/>
            </a:ext>
          </a:extLst>
        </xdr:cNvPr>
        <xdr:cNvPicPr>
          <a:picLocks noChangeAspect="1"/>
        </xdr:cNvPicPr>
      </xdr:nvPicPr>
      <xdr:blipFill>
        <a:blip xmlns:r="http://schemas.openxmlformats.org/officeDocument/2006/relationships" r:embed="rId2"/>
        <a:stretch>
          <a:fillRect/>
        </a:stretch>
      </xdr:blipFill>
      <xdr:spPr>
        <a:xfrm>
          <a:off x="4105275" y="1200151"/>
          <a:ext cx="2682240" cy="2011680"/>
        </a:xfrm>
        <a:prstGeom prst="rect">
          <a:avLst/>
        </a:prstGeom>
      </xdr:spPr>
    </xdr:pic>
    <xdr:clientData/>
  </xdr:twoCellAnchor>
  <xdr:twoCellAnchor editAs="oneCell">
    <xdr:from>
      <xdr:col>2</xdr:col>
      <xdr:colOff>66675</xdr:colOff>
      <xdr:row>10</xdr:row>
      <xdr:rowOff>47625</xdr:rowOff>
    </xdr:from>
    <xdr:to>
      <xdr:col>2</xdr:col>
      <xdr:colOff>2748915</xdr:colOff>
      <xdr:row>10</xdr:row>
      <xdr:rowOff>2059305</xdr:rowOff>
    </xdr:to>
    <xdr:pic>
      <xdr:nvPicPr>
        <xdr:cNvPr id="25" name="Picture 24">
          <a:extLst>
            <a:ext uri="{FF2B5EF4-FFF2-40B4-BE49-F238E27FC236}">
              <a16:creationId xmlns:a16="http://schemas.microsoft.com/office/drawing/2014/main" id="{00000000-0008-0000-0500-000019000000}"/>
            </a:ext>
          </a:extLst>
        </xdr:cNvPr>
        <xdr:cNvPicPr>
          <a:picLocks noChangeAspect="1"/>
        </xdr:cNvPicPr>
      </xdr:nvPicPr>
      <xdr:blipFill>
        <a:blip xmlns:r="http://schemas.openxmlformats.org/officeDocument/2006/relationships" r:embed="rId3"/>
        <a:stretch>
          <a:fillRect/>
        </a:stretch>
      </xdr:blipFill>
      <xdr:spPr>
        <a:xfrm>
          <a:off x="1285875" y="1190625"/>
          <a:ext cx="2682240" cy="2011680"/>
        </a:xfrm>
        <a:prstGeom prst="rect">
          <a:avLst/>
        </a:prstGeom>
      </xdr:spPr>
    </xdr:pic>
    <xdr:clientData/>
  </xdr:twoCellAnchor>
  <xdr:twoCellAnchor editAs="oneCell">
    <xdr:from>
      <xdr:col>5</xdr:col>
      <xdr:colOff>142875</xdr:colOff>
      <xdr:row>10</xdr:row>
      <xdr:rowOff>57150</xdr:rowOff>
    </xdr:from>
    <xdr:to>
      <xdr:col>5</xdr:col>
      <xdr:colOff>2825115</xdr:colOff>
      <xdr:row>10</xdr:row>
      <xdr:rowOff>2068830</xdr:rowOff>
    </xdr:to>
    <xdr:pic>
      <xdr:nvPicPr>
        <xdr:cNvPr id="26" name="Picture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4"/>
        <a:stretch>
          <a:fillRect/>
        </a:stretch>
      </xdr:blipFill>
      <xdr:spPr>
        <a:xfrm>
          <a:off x="9820275" y="1200150"/>
          <a:ext cx="2682240" cy="2011680"/>
        </a:xfrm>
        <a:prstGeom prst="rect">
          <a:avLst/>
        </a:prstGeom>
      </xdr:spPr>
    </xdr:pic>
    <xdr:clientData/>
  </xdr:twoCellAnchor>
  <xdr:twoCellAnchor editAs="oneCell">
    <xdr:from>
      <xdr:col>6</xdr:col>
      <xdr:colOff>228600</xdr:colOff>
      <xdr:row>7</xdr:row>
      <xdr:rowOff>21119</xdr:rowOff>
    </xdr:from>
    <xdr:to>
      <xdr:col>13</xdr:col>
      <xdr:colOff>419100</xdr:colOff>
      <xdr:row>10</xdr:row>
      <xdr:rowOff>2030713</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5"/>
        <a:stretch>
          <a:fillRect/>
        </a:stretch>
      </xdr:blipFill>
      <xdr:spPr>
        <a:xfrm>
          <a:off x="12534900" y="2992919"/>
          <a:ext cx="4876800" cy="344786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12</xdr:col>
      <xdr:colOff>157369</xdr:colOff>
      <xdr:row>1</xdr:row>
      <xdr:rowOff>55363</xdr:rowOff>
    </xdr:from>
    <xdr:to>
      <xdr:col>17</xdr:col>
      <xdr:colOff>405849</xdr:colOff>
      <xdr:row>5</xdr:row>
      <xdr:rowOff>136514</xdr:rowOff>
    </xdr:to>
    <xdr:pic>
      <xdr:nvPicPr>
        <xdr:cNvPr id="10" name="Picture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1"/>
        <a:stretch>
          <a:fillRect/>
        </a:stretch>
      </xdr:blipFill>
      <xdr:spPr>
        <a:xfrm>
          <a:off x="7305260" y="618580"/>
          <a:ext cx="3313046" cy="2342304"/>
        </a:xfrm>
        <a:prstGeom prst="rect">
          <a:avLst/>
        </a:prstGeom>
      </xdr:spPr>
    </xdr:pic>
    <xdr:clientData/>
  </xdr:twoCellAnchor>
  <xdr:twoCellAnchor editAs="oneCell">
    <xdr:from>
      <xdr:col>12</xdr:col>
      <xdr:colOff>165651</xdr:colOff>
      <xdr:row>5</xdr:row>
      <xdr:rowOff>500852</xdr:rowOff>
    </xdr:from>
    <xdr:to>
      <xdr:col>17</xdr:col>
      <xdr:colOff>447260</xdr:colOff>
      <xdr:row>9</xdr:row>
      <xdr:rowOff>147299</xdr:rowOff>
    </xdr:to>
    <xdr:pic>
      <xdr:nvPicPr>
        <xdr:cNvPr id="11" name="Picture 10">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2"/>
        <a:stretch>
          <a:fillRect/>
        </a:stretch>
      </xdr:blipFill>
      <xdr:spPr>
        <a:xfrm>
          <a:off x="7313542" y="3325222"/>
          <a:ext cx="3346175" cy="2247186"/>
        </a:xfrm>
        <a:prstGeom prst="rect">
          <a:avLst/>
        </a:prstGeom>
      </xdr:spPr>
    </xdr:pic>
    <xdr:clientData/>
  </xdr:twoCellAnchor>
  <xdr:twoCellAnchor editAs="oneCell">
    <xdr:from>
      <xdr:col>7</xdr:col>
      <xdr:colOff>165652</xdr:colOff>
      <xdr:row>4</xdr:row>
      <xdr:rowOff>178598</xdr:rowOff>
    </xdr:from>
    <xdr:to>
      <xdr:col>10</xdr:col>
      <xdr:colOff>182217</xdr:colOff>
      <xdr:row>4</xdr:row>
      <xdr:rowOff>624162</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3"/>
        <a:stretch>
          <a:fillRect/>
        </a:stretch>
      </xdr:blipFill>
      <xdr:spPr>
        <a:xfrm>
          <a:off x="4762500" y="2373489"/>
          <a:ext cx="1855304" cy="445564"/>
        </a:xfrm>
        <a:prstGeom prst="rect">
          <a:avLst/>
        </a:prstGeom>
      </xdr:spPr>
    </xdr:pic>
    <xdr:clientData/>
  </xdr:twoCellAnchor>
  <xdr:twoCellAnchor editAs="oneCell">
    <xdr:from>
      <xdr:col>7</xdr:col>
      <xdr:colOff>99393</xdr:colOff>
      <xdr:row>5</xdr:row>
      <xdr:rowOff>74544</xdr:rowOff>
    </xdr:from>
    <xdr:to>
      <xdr:col>9</xdr:col>
      <xdr:colOff>488675</xdr:colOff>
      <xdr:row>5</xdr:row>
      <xdr:rowOff>581529</xdr:rowOff>
    </xdr:to>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4"/>
        <a:stretch>
          <a:fillRect/>
        </a:stretch>
      </xdr:blipFill>
      <xdr:spPr>
        <a:xfrm>
          <a:off x="4696241" y="2898914"/>
          <a:ext cx="1615108" cy="506985"/>
        </a:xfrm>
        <a:prstGeom prst="rect">
          <a:avLst/>
        </a:prstGeom>
      </xdr:spPr>
    </xdr:pic>
    <xdr:clientData/>
  </xdr:twoCellAnchor>
  <xdr:twoCellAnchor editAs="oneCell">
    <xdr:from>
      <xdr:col>7</xdr:col>
      <xdr:colOff>91109</xdr:colOff>
      <xdr:row>6</xdr:row>
      <xdr:rowOff>49697</xdr:rowOff>
    </xdr:from>
    <xdr:to>
      <xdr:col>9</xdr:col>
      <xdr:colOff>447261</xdr:colOff>
      <xdr:row>6</xdr:row>
      <xdr:rowOff>574559</xdr:rowOff>
    </xdr:to>
    <xdr:pic>
      <xdr:nvPicPr>
        <xdr:cNvPr id="9" name="Picture 8">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5"/>
        <a:stretch>
          <a:fillRect/>
        </a:stretch>
      </xdr:blipFill>
      <xdr:spPr>
        <a:xfrm>
          <a:off x="4687957" y="3503545"/>
          <a:ext cx="1581978" cy="524862"/>
        </a:xfrm>
        <a:prstGeom prst="rect">
          <a:avLst/>
        </a:prstGeom>
      </xdr:spPr>
    </xdr:pic>
    <xdr:clientData/>
  </xdr:twoCellAnchor>
  <xdr:twoCellAnchor editAs="oneCell">
    <xdr:from>
      <xdr:col>7</xdr:col>
      <xdr:colOff>82825</xdr:colOff>
      <xdr:row>8</xdr:row>
      <xdr:rowOff>140805</xdr:rowOff>
    </xdr:from>
    <xdr:to>
      <xdr:col>11</xdr:col>
      <xdr:colOff>571500</xdr:colOff>
      <xdr:row>8</xdr:row>
      <xdr:rowOff>673680</xdr:rowOff>
    </xdr:to>
    <xdr:pic>
      <xdr:nvPicPr>
        <xdr:cNvPr id="12" name="Picture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6"/>
        <a:stretch>
          <a:fillRect/>
        </a:stretch>
      </xdr:blipFill>
      <xdr:spPr>
        <a:xfrm>
          <a:off x="4679673" y="4803914"/>
          <a:ext cx="2940327" cy="532875"/>
        </a:xfrm>
        <a:prstGeom prst="rect">
          <a:avLst/>
        </a:prstGeom>
      </xdr:spPr>
    </xdr:pic>
    <xdr:clientData/>
  </xdr:twoCellAnchor>
  <xdr:twoCellAnchor editAs="oneCell">
    <xdr:from>
      <xdr:col>7</xdr:col>
      <xdr:colOff>54666</xdr:colOff>
      <xdr:row>9</xdr:row>
      <xdr:rowOff>74543</xdr:rowOff>
    </xdr:from>
    <xdr:to>
      <xdr:col>8</xdr:col>
      <xdr:colOff>257271</xdr:colOff>
      <xdr:row>9</xdr:row>
      <xdr:rowOff>737151</xdr:rowOff>
    </xdr:to>
    <xdr:pic>
      <xdr:nvPicPr>
        <xdr:cNvPr id="13" name="Picture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7"/>
        <a:stretch>
          <a:fillRect/>
        </a:stretch>
      </xdr:blipFill>
      <xdr:spPr>
        <a:xfrm>
          <a:off x="4651514" y="5499652"/>
          <a:ext cx="815518" cy="662608"/>
        </a:xfrm>
        <a:prstGeom prst="rect">
          <a:avLst/>
        </a:prstGeom>
      </xdr:spPr>
    </xdr:pic>
    <xdr:clientData/>
  </xdr:twoCellAnchor>
  <xdr:twoCellAnchor editAs="oneCell">
    <xdr:from>
      <xdr:col>7</xdr:col>
      <xdr:colOff>124240</xdr:colOff>
      <xdr:row>10</xdr:row>
      <xdr:rowOff>99393</xdr:rowOff>
    </xdr:from>
    <xdr:to>
      <xdr:col>9</xdr:col>
      <xdr:colOff>265044</xdr:colOff>
      <xdr:row>10</xdr:row>
      <xdr:rowOff>711644</xdr:rowOff>
    </xdr:to>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8"/>
        <a:stretch>
          <a:fillRect/>
        </a:stretch>
      </xdr:blipFill>
      <xdr:spPr>
        <a:xfrm>
          <a:off x="4721088" y="6286502"/>
          <a:ext cx="1366630" cy="612251"/>
        </a:xfrm>
        <a:prstGeom prst="rect">
          <a:avLst/>
        </a:prstGeom>
      </xdr:spPr>
    </xdr:pic>
    <xdr:clientData/>
  </xdr:twoCellAnchor>
  <xdr:twoCellAnchor editAs="oneCell">
    <xdr:from>
      <xdr:col>7</xdr:col>
      <xdr:colOff>124238</xdr:colOff>
      <xdr:row>3</xdr:row>
      <xdr:rowOff>173935</xdr:rowOff>
    </xdr:from>
    <xdr:to>
      <xdr:col>11</xdr:col>
      <xdr:colOff>265043</xdr:colOff>
      <xdr:row>3</xdr:row>
      <xdr:rowOff>410528</xdr:rowOff>
    </xdr:to>
    <xdr:pic>
      <xdr:nvPicPr>
        <xdr:cNvPr id="15" name="Picture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9"/>
        <a:stretch>
          <a:fillRect/>
        </a:stretch>
      </xdr:blipFill>
      <xdr:spPr>
        <a:xfrm>
          <a:off x="4721086" y="1813892"/>
          <a:ext cx="2592457" cy="236593"/>
        </a:xfrm>
        <a:prstGeom prst="rect">
          <a:avLst/>
        </a:prstGeom>
      </xdr:spPr>
    </xdr:pic>
    <xdr:clientData/>
  </xdr:twoCellAnchor>
  <xdr:twoCellAnchor editAs="oneCell">
    <xdr:from>
      <xdr:col>7</xdr:col>
      <xdr:colOff>115958</xdr:colOff>
      <xdr:row>2</xdr:row>
      <xdr:rowOff>33131</xdr:rowOff>
    </xdr:from>
    <xdr:to>
      <xdr:col>11</xdr:col>
      <xdr:colOff>207066</xdr:colOff>
      <xdr:row>2</xdr:row>
      <xdr:rowOff>453378</xdr:rowOff>
    </xdr:to>
    <xdr:pic>
      <xdr:nvPicPr>
        <xdr:cNvPr id="16" name="Picture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10"/>
        <a:stretch>
          <a:fillRect/>
        </a:stretch>
      </xdr:blipFill>
      <xdr:spPr>
        <a:xfrm>
          <a:off x="4712806" y="1143001"/>
          <a:ext cx="2542760" cy="420247"/>
        </a:xfrm>
        <a:prstGeom prst="rect">
          <a:avLst/>
        </a:prstGeom>
      </xdr:spPr>
    </xdr:pic>
    <xdr:clientData/>
  </xdr:twoCellAnchor>
  <xdr:twoCellAnchor editAs="oneCell">
    <xdr:from>
      <xdr:col>21</xdr:col>
      <xdr:colOff>265871</xdr:colOff>
      <xdr:row>2</xdr:row>
      <xdr:rowOff>265459</xdr:rowOff>
    </xdr:from>
    <xdr:to>
      <xdr:col>23</xdr:col>
      <xdr:colOff>182355</xdr:colOff>
      <xdr:row>3</xdr:row>
      <xdr:rowOff>447260</xdr:rowOff>
    </xdr:to>
    <xdr:pic>
      <xdr:nvPicPr>
        <xdr:cNvPr id="18" name="Picture 17">
          <a:extLst>
            <a:ext uri="{FF2B5EF4-FFF2-40B4-BE49-F238E27FC236}">
              <a16:creationId xmlns:a16="http://schemas.microsoft.com/office/drawing/2014/main" id="{00000000-0008-0000-0600-000012000000}"/>
            </a:ext>
          </a:extLst>
        </xdr:cNvPr>
        <xdr:cNvPicPr>
          <a:picLocks noChangeAspect="1"/>
        </xdr:cNvPicPr>
      </xdr:nvPicPr>
      <xdr:blipFill>
        <a:blip xmlns:r="http://schemas.openxmlformats.org/officeDocument/2006/relationships" r:embed="rId11"/>
        <a:stretch>
          <a:fillRect/>
        </a:stretch>
      </xdr:blipFill>
      <xdr:spPr>
        <a:xfrm>
          <a:off x="12929980" y="1375329"/>
          <a:ext cx="1142310" cy="711888"/>
        </a:xfrm>
        <a:prstGeom prst="rect">
          <a:avLst/>
        </a:prstGeom>
      </xdr:spPr>
    </xdr:pic>
    <xdr:clientData/>
  </xdr:twoCellAnchor>
  <xdr:twoCellAnchor editAs="oneCell">
    <xdr:from>
      <xdr:col>24</xdr:col>
      <xdr:colOff>236055</xdr:colOff>
      <xdr:row>2</xdr:row>
      <xdr:rowOff>258832</xdr:rowOff>
    </xdr:from>
    <xdr:to>
      <xdr:col>26</xdr:col>
      <xdr:colOff>405848</xdr:colOff>
      <xdr:row>3</xdr:row>
      <xdr:rowOff>437188</xdr:rowOff>
    </xdr:to>
    <xdr:pic>
      <xdr:nvPicPr>
        <xdr:cNvPr id="19" name="Picture 18">
          <a:extLst>
            <a:ext uri="{FF2B5EF4-FFF2-40B4-BE49-F238E27FC236}">
              <a16:creationId xmlns:a16="http://schemas.microsoft.com/office/drawing/2014/main" id="{00000000-0008-0000-0600-000013000000}"/>
            </a:ext>
          </a:extLst>
        </xdr:cNvPr>
        <xdr:cNvPicPr>
          <a:picLocks noChangeAspect="1"/>
        </xdr:cNvPicPr>
      </xdr:nvPicPr>
      <xdr:blipFill>
        <a:blip xmlns:r="http://schemas.openxmlformats.org/officeDocument/2006/relationships" r:embed="rId12"/>
        <a:stretch>
          <a:fillRect/>
        </a:stretch>
      </xdr:blipFill>
      <xdr:spPr>
        <a:xfrm>
          <a:off x="14738903" y="1368702"/>
          <a:ext cx="1395619" cy="708443"/>
        </a:xfrm>
        <a:prstGeom prst="rect">
          <a:avLst/>
        </a:prstGeom>
      </xdr:spPr>
    </xdr:pic>
    <xdr:clientData/>
  </xdr:twoCellAnchor>
  <xdr:twoCellAnchor editAs="oneCell">
    <xdr:from>
      <xdr:col>27</xdr:col>
      <xdr:colOff>215347</xdr:colOff>
      <xdr:row>2</xdr:row>
      <xdr:rowOff>194641</xdr:rowOff>
    </xdr:from>
    <xdr:to>
      <xdr:col>29</xdr:col>
      <xdr:colOff>198782</xdr:colOff>
      <xdr:row>3</xdr:row>
      <xdr:rowOff>418166</xdr:rowOff>
    </xdr:to>
    <xdr:pic>
      <xdr:nvPicPr>
        <xdr:cNvPr id="20" name="Picture 19">
          <a:extLst>
            <a:ext uri="{FF2B5EF4-FFF2-40B4-BE49-F238E27FC236}">
              <a16:creationId xmlns:a16="http://schemas.microsoft.com/office/drawing/2014/main" id="{00000000-0008-0000-0600-000014000000}"/>
            </a:ext>
          </a:extLst>
        </xdr:cNvPr>
        <xdr:cNvPicPr>
          <a:picLocks noChangeAspect="1"/>
        </xdr:cNvPicPr>
      </xdr:nvPicPr>
      <xdr:blipFill>
        <a:blip xmlns:r="http://schemas.openxmlformats.org/officeDocument/2006/relationships" r:embed="rId11"/>
        <a:stretch>
          <a:fillRect/>
        </a:stretch>
      </xdr:blipFill>
      <xdr:spPr>
        <a:xfrm>
          <a:off x="16556934" y="1304511"/>
          <a:ext cx="1209261" cy="753612"/>
        </a:xfrm>
        <a:prstGeom prst="rect">
          <a:avLst/>
        </a:prstGeom>
      </xdr:spPr>
    </xdr:pic>
    <xdr:clientData/>
  </xdr:twoCellAnchor>
  <xdr:twoCellAnchor editAs="oneCell">
    <xdr:from>
      <xdr:col>30</xdr:col>
      <xdr:colOff>232743</xdr:colOff>
      <xdr:row>2</xdr:row>
      <xdr:rowOff>279125</xdr:rowOff>
    </xdr:from>
    <xdr:to>
      <xdr:col>32</xdr:col>
      <xdr:colOff>300819</xdr:colOff>
      <xdr:row>3</xdr:row>
      <xdr:rowOff>405848</xdr:rowOff>
    </xdr:to>
    <xdr:pic>
      <xdr:nvPicPr>
        <xdr:cNvPr id="21" name="Picture 20">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12"/>
        <a:stretch>
          <a:fillRect/>
        </a:stretch>
      </xdr:blipFill>
      <xdr:spPr>
        <a:xfrm>
          <a:off x="18413069" y="1388995"/>
          <a:ext cx="1293902" cy="65681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95250</xdr:colOff>
      <xdr:row>0</xdr:row>
      <xdr:rowOff>47625</xdr:rowOff>
    </xdr:from>
    <xdr:to>
      <xdr:col>1</xdr:col>
      <xdr:colOff>1514475</xdr:colOff>
      <xdr:row>0</xdr:row>
      <xdr:rowOff>666750</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95250" y="47625"/>
          <a:ext cx="2028825"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211139</xdr:colOff>
      <xdr:row>0</xdr:row>
      <xdr:rowOff>704850</xdr:rowOff>
    </xdr:from>
    <xdr:to>
      <xdr:col>17</xdr:col>
      <xdr:colOff>571499</xdr:colOff>
      <xdr:row>10</xdr:row>
      <xdr:rowOff>581025</xdr:rowOff>
    </xdr:to>
    <xdr:pic>
      <xdr:nvPicPr>
        <xdr:cNvPr id="4" name="Picture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2"/>
        <a:stretch>
          <a:fillRect/>
        </a:stretch>
      </xdr:blipFill>
      <xdr:spPr>
        <a:xfrm>
          <a:off x="10469564" y="704850"/>
          <a:ext cx="7065960" cy="4867275"/>
        </a:xfrm>
        <a:prstGeom prst="rect">
          <a:avLst/>
        </a:prstGeom>
      </xdr:spPr>
    </xdr:pic>
    <xdr:clientData/>
  </xdr:twoCellAnchor>
  <xdr:twoCellAnchor editAs="oneCell">
    <xdr:from>
      <xdr:col>6</xdr:col>
      <xdr:colOff>209551</xdr:colOff>
      <xdr:row>11</xdr:row>
      <xdr:rowOff>180975</xdr:rowOff>
    </xdr:from>
    <xdr:to>
      <xdr:col>17</xdr:col>
      <xdr:colOff>576685</xdr:colOff>
      <xdr:row>18</xdr:row>
      <xdr:rowOff>326571</xdr:rowOff>
    </xdr:to>
    <xdr:pic>
      <xdr:nvPicPr>
        <xdr:cNvPr id="5" name="Picture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3"/>
        <a:stretch>
          <a:fillRect/>
        </a:stretch>
      </xdr:blipFill>
      <xdr:spPr>
        <a:xfrm>
          <a:off x="10482944" y="5814332"/>
          <a:ext cx="7102670" cy="4867275"/>
        </a:xfrm>
        <a:prstGeom prst="rect">
          <a:avLst/>
        </a:prstGeom>
      </xdr:spPr>
    </xdr:pic>
    <xdr:clientData/>
  </xdr:twoCellAnchor>
  <xdr:twoCellAnchor editAs="oneCell">
    <xdr:from>
      <xdr:col>6</xdr:col>
      <xdr:colOff>204107</xdr:colOff>
      <xdr:row>18</xdr:row>
      <xdr:rowOff>557894</xdr:rowOff>
    </xdr:from>
    <xdr:to>
      <xdr:col>17</xdr:col>
      <xdr:colOff>552608</xdr:colOff>
      <xdr:row>24</xdr:row>
      <xdr:rowOff>231323</xdr:rowOff>
    </xdr:to>
    <xdr:pic>
      <xdr:nvPicPr>
        <xdr:cNvPr id="6" name="Picture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4"/>
        <a:stretch>
          <a:fillRect/>
        </a:stretch>
      </xdr:blipFill>
      <xdr:spPr>
        <a:xfrm>
          <a:off x="10477500" y="10912930"/>
          <a:ext cx="7084037" cy="48849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85725</xdr:colOff>
      <xdr:row>2</xdr:row>
      <xdr:rowOff>57150</xdr:rowOff>
    </xdr:from>
    <xdr:to>
      <xdr:col>1</xdr:col>
      <xdr:colOff>4680040</xdr:colOff>
      <xdr:row>2</xdr:row>
      <xdr:rowOff>2343150</xdr:rowOff>
    </xdr:to>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1"/>
        <a:stretch>
          <a:fillRect/>
        </a:stretch>
      </xdr:blipFill>
      <xdr:spPr>
        <a:xfrm>
          <a:off x="1038225" y="2085975"/>
          <a:ext cx="4594315" cy="2286000"/>
        </a:xfrm>
        <a:prstGeom prst="rect">
          <a:avLst/>
        </a:prstGeom>
      </xdr:spPr>
    </xdr:pic>
    <xdr:clientData/>
  </xdr:twoCellAnchor>
  <xdr:twoCellAnchor editAs="oneCell">
    <xdr:from>
      <xdr:col>1</xdr:col>
      <xdr:colOff>104775</xdr:colOff>
      <xdr:row>3</xdr:row>
      <xdr:rowOff>57150</xdr:rowOff>
    </xdr:from>
    <xdr:to>
      <xdr:col>1</xdr:col>
      <xdr:colOff>4681728</xdr:colOff>
      <xdr:row>3</xdr:row>
      <xdr:rowOff>2343150</xdr:rowOff>
    </xdr:to>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2"/>
        <a:stretch>
          <a:fillRect/>
        </a:stretch>
      </xdr:blipFill>
      <xdr:spPr>
        <a:xfrm>
          <a:off x="1057275" y="4467225"/>
          <a:ext cx="4576953" cy="2286000"/>
        </a:xfrm>
        <a:prstGeom prst="rect">
          <a:avLst/>
        </a:prstGeom>
      </xdr:spPr>
    </xdr:pic>
    <xdr:clientData/>
  </xdr:twoCellAnchor>
  <xdr:twoCellAnchor editAs="oneCell">
    <xdr:from>
      <xdr:col>2</xdr:col>
      <xdr:colOff>842211</xdr:colOff>
      <xdr:row>1</xdr:row>
      <xdr:rowOff>57149</xdr:rowOff>
    </xdr:from>
    <xdr:to>
      <xdr:col>2</xdr:col>
      <xdr:colOff>3733800</xdr:colOff>
      <xdr:row>1</xdr:row>
      <xdr:rowOff>1452858</xdr:rowOff>
    </xdr:to>
    <xdr:pic>
      <xdr:nvPicPr>
        <xdr:cNvPr id="14" name="Picture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3"/>
        <a:stretch>
          <a:fillRect/>
        </a:stretch>
      </xdr:blipFill>
      <xdr:spPr>
        <a:xfrm>
          <a:off x="6585786" y="247649"/>
          <a:ext cx="2891589" cy="1395709"/>
        </a:xfrm>
        <a:prstGeom prst="rect">
          <a:avLst/>
        </a:prstGeom>
      </xdr:spPr>
    </xdr:pic>
    <xdr:clientData/>
  </xdr:twoCellAnchor>
  <xdr:twoCellAnchor editAs="oneCell">
    <xdr:from>
      <xdr:col>4</xdr:col>
      <xdr:colOff>647700</xdr:colOff>
      <xdr:row>1</xdr:row>
      <xdr:rowOff>47625</xdr:rowOff>
    </xdr:from>
    <xdr:to>
      <xdr:col>4</xdr:col>
      <xdr:colOff>2971800</xdr:colOff>
      <xdr:row>1</xdr:row>
      <xdr:rowOff>1450181</xdr:rowOff>
    </xdr:to>
    <xdr:pic>
      <xdr:nvPicPr>
        <xdr:cNvPr id="23" name="Picture 22">
          <a:extLst>
            <a:ext uri="{FF2B5EF4-FFF2-40B4-BE49-F238E27FC236}">
              <a16:creationId xmlns:a16="http://schemas.microsoft.com/office/drawing/2014/main" id="{00000000-0008-0000-0800-000017000000}"/>
            </a:ext>
          </a:extLst>
        </xdr:cNvPr>
        <xdr:cNvPicPr>
          <a:picLocks noChangeAspect="1"/>
        </xdr:cNvPicPr>
      </xdr:nvPicPr>
      <xdr:blipFill>
        <a:blip xmlns:r="http://schemas.openxmlformats.org/officeDocument/2006/relationships" r:embed="rId4"/>
        <a:stretch>
          <a:fillRect/>
        </a:stretch>
      </xdr:blipFill>
      <xdr:spPr>
        <a:xfrm>
          <a:off x="13763625" y="238125"/>
          <a:ext cx="2324100" cy="1402556"/>
        </a:xfrm>
        <a:prstGeom prst="rect">
          <a:avLst/>
        </a:prstGeom>
      </xdr:spPr>
    </xdr:pic>
    <xdr:clientData/>
  </xdr:twoCellAnchor>
  <xdr:twoCellAnchor editAs="oneCell">
    <xdr:from>
      <xdr:col>1</xdr:col>
      <xdr:colOff>885825</xdr:colOff>
      <xdr:row>1</xdr:row>
      <xdr:rowOff>57149</xdr:rowOff>
    </xdr:from>
    <xdr:to>
      <xdr:col>1</xdr:col>
      <xdr:colOff>3800475</xdr:colOff>
      <xdr:row>1</xdr:row>
      <xdr:rowOff>1439924</xdr:rowOff>
    </xdr:to>
    <xdr:pic>
      <xdr:nvPicPr>
        <xdr:cNvPr id="24" name="Picture 23">
          <a:extLst>
            <a:ext uri="{FF2B5EF4-FFF2-40B4-BE49-F238E27FC236}">
              <a16:creationId xmlns:a16="http://schemas.microsoft.com/office/drawing/2014/main" id="{00000000-0008-0000-0800-000018000000}"/>
            </a:ext>
          </a:extLst>
        </xdr:cNvPr>
        <xdr:cNvPicPr>
          <a:picLocks noChangeAspect="1"/>
        </xdr:cNvPicPr>
      </xdr:nvPicPr>
      <xdr:blipFill>
        <a:blip xmlns:r="http://schemas.openxmlformats.org/officeDocument/2006/relationships" r:embed="rId5"/>
        <a:stretch>
          <a:fillRect/>
        </a:stretch>
      </xdr:blipFill>
      <xdr:spPr>
        <a:xfrm>
          <a:off x="1838325" y="247649"/>
          <a:ext cx="2914650" cy="1382775"/>
        </a:xfrm>
        <a:prstGeom prst="rect">
          <a:avLst/>
        </a:prstGeom>
      </xdr:spPr>
    </xdr:pic>
    <xdr:clientData/>
  </xdr:twoCellAnchor>
  <xdr:twoCellAnchor editAs="oneCell">
    <xdr:from>
      <xdr:col>3</xdr:col>
      <xdr:colOff>914399</xdr:colOff>
      <xdr:row>1</xdr:row>
      <xdr:rowOff>42568</xdr:rowOff>
    </xdr:from>
    <xdr:to>
      <xdr:col>3</xdr:col>
      <xdr:colOff>3448050</xdr:colOff>
      <xdr:row>1</xdr:row>
      <xdr:rowOff>1454849</xdr:rowOff>
    </xdr:to>
    <xdr:pic>
      <xdr:nvPicPr>
        <xdr:cNvPr id="25" name="Picture 24">
          <a:extLst>
            <a:ext uri="{FF2B5EF4-FFF2-40B4-BE49-F238E27FC236}">
              <a16:creationId xmlns:a16="http://schemas.microsoft.com/office/drawing/2014/main" id="{00000000-0008-0000-0800-000019000000}"/>
            </a:ext>
          </a:extLst>
        </xdr:cNvPr>
        <xdr:cNvPicPr>
          <a:picLocks noChangeAspect="1"/>
        </xdr:cNvPicPr>
      </xdr:nvPicPr>
      <xdr:blipFill>
        <a:blip xmlns:r="http://schemas.openxmlformats.org/officeDocument/2006/relationships" r:embed="rId6"/>
        <a:stretch>
          <a:fillRect/>
        </a:stretch>
      </xdr:blipFill>
      <xdr:spPr>
        <a:xfrm>
          <a:off x="11287124" y="233068"/>
          <a:ext cx="2533651" cy="1412281"/>
        </a:xfrm>
        <a:prstGeom prst="rect">
          <a:avLst/>
        </a:prstGeom>
      </xdr:spPr>
    </xdr:pic>
    <xdr:clientData/>
  </xdr:twoCellAnchor>
  <xdr:twoCellAnchor editAs="oneCell">
    <xdr:from>
      <xdr:col>3</xdr:col>
      <xdr:colOff>57150</xdr:colOff>
      <xdr:row>2</xdr:row>
      <xdr:rowOff>45725</xdr:rowOff>
    </xdr:from>
    <xdr:to>
      <xdr:col>3</xdr:col>
      <xdr:colOff>4631629</xdr:colOff>
      <xdr:row>2</xdr:row>
      <xdr:rowOff>2331725</xdr:rowOff>
    </xdr:to>
    <xdr:pic>
      <xdr:nvPicPr>
        <xdr:cNvPr id="26" name="Picture 25">
          <a:extLst>
            <a:ext uri="{FF2B5EF4-FFF2-40B4-BE49-F238E27FC236}">
              <a16:creationId xmlns:a16="http://schemas.microsoft.com/office/drawing/2014/main" id="{00000000-0008-0000-0800-00001A000000}"/>
            </a:ext>
          </a:extLst>
        </xdr:cNvPr>
        <xdr:cNvPicPr>
          <a:picLocks noChangeAspect="1"/>
        </xdr:cNvPicPr>
      </xdr:nvPicPr>
      <xdr:blipFill>
        <a:blip xmlns:r="http://schemas.openxmlformats.org/officeDocument/2006/relationships" r:embed="rId7"/>
        <a:stretch>
          <a:fillRect/>
        </a:stretch>
      </xdr:blipFill>
      <xdr:spPr>
        <a:xfrm>
          <a:off x="9410700" y="1731650"/>
          <a:ext cx="4574479" cy="2286000"/>
        </a:xfrm>
        <a:prstGeom prst="rect">
          <a:avLst/>
        </a:prstGeom>
      </xdr:spPr>
    </xdr:pic>
    <xdr:clientData/>
  </xdr:twoCellAnchor>
  <xdr:twoCellAnchor editAs="oneCell">
    <xdr:from>
      <xdr:col>3</xdr:col>
      <xdr:colOff>57150</xdr:colOff>
      <xdr:row>3</xdr:row>
      <xdr:rowOff>66675</xdr:rowOff>
    </xdr:from>
    <xdr:to>
      <xdr:col>3</xdr:col>
      <xdr:colOff>4606956</xdr:colOff>
      <xdr:row>3</xdr:row>
      <xdr:rowOff>2352675</xdr:rowOff>
    </xdr:to>
    <xdr:pic>
      <xdr:nvPicPr>
        <xdr:cNvPr id="27" name="Picture 26">
          <a:extLst>
            <a:ext uri="{FF2B5EF4-FFF2-40B4-BE49-F238E27FC236}">
              <a16:creationId xmlns:a16="http://schemas.microsoft.com/office/drawing/2014/main" id="{00000000-0008-0000-0800-00001B000000}"/>
            </a:ext>
          </a:extLst>
        </xdr:cNvPr>
        <xdr:cNvPicPr>
          <a:picLocks noChangeAspect="1"/>
        </xdr:cNvPicPr>
      </xdr:nvPicPr>
      <xdr:blipFill>
        <a:blip xmlns:r="http://schemas.openxmlformats.org/officeDocument/2006/relationships" r:embed="rId8"/>
        <a:stretch>
          <a:fillRect/>
        </a:stretch>
      </xdr:blipFill>
      <xdr:spPr>
        <a:xfrm>
          <a:off x="9410700" y="4133850"/>
          <a:ext cx="4549806" cy="2286000"/>
        </a:xfrm>
        <a:prstGeom prst="rect">
          <a:avLst/>
        </a:prstGeom>
      </xdr:spPr>
    </xdr:pic>
    <xdr:clientData/>
  </xdr:twoCellAnchor>
  <xdr:twoCellAnchor editAs="oneCell">
    <xdr:from>
      <xdr:col>4</xdr:col>
      <xdr:colOff>57150</xdr:colOff>
      <xdr:row>3</xdr:row>
      <xdr:rowOff>66675</xdr:rowOff>
    </xdr:from>
    <xdr:to>
      <xdr:col>4</xdr:col>
      <xdr:colOff>4606956</xdr:colOff>
      <xdr:row>3</xdr:row>
      <xdr:rowOff>2352675</xdr:rowOff>
    </xdr:to>
    <xdr:pic>
      <xdr:nvPicPr>
        <xdr:cNvPr id="28" name="Picture 27">
          <a:extLst>
            <a:ext uri="{FF2B5EF4-FFF2-40B4-BE49-F238E27FC236}">
              <a16:creationId xmlns:a16="http://schemas.microsoft.com/office/drawing/2014/main" id="{00000000-0008-0000-0800-00001C000000}"/>
            </a:ext>
          </a:extLst>
        </xdr:cNvPr>
        <xdr:cNvPicPr>
          <a:picLocks noChangeAspect="1"/>
        </xdr:cNvPicPr>
      </xdr:nvPicPr>
      <xdr:blipFill>
        <a:blip xmlns:r="http://schemas.openxmlformats.org/officeDocument/2006/relationships" r:embed="rId9"/>
        <a:stretch>
          <a:fillRect/>
        </a:stretch>
      </xdr:blipFill>
      <xdr:spPr>
        <a:xfrm>
          <a:off x="15211425" y="4133850"/>
          <a:ext cx="4549806" cy="2286000"/>
        </a:xfrm>
        <a:prstGeom prst="rect">
          <a:avLst/>
        </a:prstGeom>
      </xdr:spPr>
    </xdr:pic>
    <xdr:clientData/>
  </xdr:twoCellAnchor>
  <xdr:twoCellAnchor editAs="oneCell">
    <xdr:from>
      <xdr:col>4</xdr:col>
      <xdr:colOff>47625</xdr:colOff>
      <xdr:row>2</xdr:row>
      <xdr:rowOff>57150</xdr:rowOff>
    </xdr:from>
    <xdr:to>
      <xdr:col>4</xdr:col>
      <xdr:colOff>4624589</xdr:colOff>
      <xdr:row>2</xdr:row>
      <xdr:rowOff>2343150</xdr:rowOff>
    </xdr:to>
    <xdr:pic>
      <xdr:nvPicPr>
        <xdr:cNvPr id="29" name="Picture 28">
          <a:extLst>
            <a:ext uri="{FF2B5EF4-FFF2-40B4-BE49-F238E27FC236}">
              <a16:creationId xmlns:a16="http://schemas.microsoft.com/office/drawing/2014/main" id="{00000000-0008-0000-0800-00001D000000}"/>
            </a:ext>
          </a:extLst>
        </xdr:cNvPr>
        <xdr:cNvPicPr>
          <a:picLocks noChangeAspect="1"/>
        </xdr:cNvPicPr>
      </xdr:nvPicPr>
      <xdr:blipFill>
        <a:blip xmlns:r="http://schemas.openxmlformats.org/officeDocument/2006/relationships" r:embed="rId10"/>
        <a:stretch>
          <a:fillRect/>
        </a:stretch>
      </xdr:blipFill>
      <xdr:spPr>
        <a:xfrm>
          <a:off x="15201900" y="1743075"/>
          <a:ext cx="4576964" cy="2286000"/>
        </a:xfrm>
        <a:prstGeom prst="rect">
          <a:avLst/>
        </a:prstGeom>
      </xdr:spPr>
    </xdr:pic>
    <xdr:clientData/>
  </xdr:twoCellAnchor>
  <xdr:twoCellAnchor editAs="oneCell">
    <xdr:from>
      <xdr:col>2</xdr:col>
      <xdr:colOff>66675</xdr:colOff>
      <xdr:row>2</xdr:row>
      <xdr:rowOff>38100</xdr:rowOff>
    </xdr:from>
    <xdr:to>
      <xdr:col>2</xdr:col>
      <xdr:colOff>4592072</xdr:colOff>
      <xdr:row>2</xdr:row>
      <xdr:rowOff>2324100</xdr:rowOff>
    </xdr:to>
    <xdr:pic>
      <xdr:nvPicPr>
        <xdr:cNvPr id="30" name="Picture 29">
          <a:extLst>
            <a:ext uri="{FF2B5EF4-FFF2-40B4-BE49-F238E27FC236}">
              <a16:creationId xmlns:a16="http://schemas.microsoft.com/office/drawing/2014/main" id="{00000000-0008-0000-0800-00001E000000}"/>
            </a:ext>
          </a:extLst>
        </xdr:cNvPr>
        <xdr:cNvPicPr>
          <a:picLocks noChangeAspect="1"/>
        </xdr:cNvPicPr>
      </xdr:nvPicPr>
      <xdr:blipFill>
        <a:blip xmlns:r="http://schemas.openxmlformats.org/officeDocument/2006/relationships" r:embed="rId11"/>
        <a:stretch>
          <a:fillRect/>
        </a:stretch>
      </xdr:blipFill>
      <xdr:spPr>
        <a:xfrm>
          <a:off x="5810250" y="1724025"/>
          <a:ext cx="4525397" cy="2286000"/>
        </a:xfrm>
        <a:prstGeom prst="rect">
          <a:avLst/>
        </a:prstGeom>
      </xdr:spPr>
    </xdr:pic>
    <xdr:clientData/>
  </xdr:twoCellAnchor>
  <xdr:twoCellAnchor editAs="oneCell">
    <xdr:from>
      <xdr:col>2</xdr:col>
      <xdr:colOff>66676</xdr:colOff>
      <xdr:row>3</xdr:row>
      <xdr:rowOff>57150</xdr:rowOff>
    </xdr:from>
    <xdr:to>
      <xdr:col>2</xdr:col>
      <xdr:colOff>4594383</xdr:colOff>
      <xdr:row>3</xdr:row>
      <xdr:rowOff>2343150</xdr:rowOff>
    </xdr:to>
    <xdr:pic>
      <xdr:nvPicPr>
        <xdr:cNvPr id="31" name="Picture 30">
          <a:extLst>
            <a:ext uri="{FF2B5EF4-FFF2-40B4-BE49-F238E27FC236}">
              <a16:creationId xmlns:a16="http://schemas.microsoft.com/office/drawing/2014/main" id="{00000000-0008-0000-0800-00001F000000}"/>
            </a:ext>
          </a:extLst>
        </xdr:cNvPr>
        <xdr:cNvPicPr>
          <a:picLocks noChangeAspect="1"/>
        </xdr:cNvPicPr>
      </xdr:nvPicPr>
      <xdr:blipFill>
        <a:blip xmlns:r="http://schemas.openxmlformats.org/officeDocument/2006/relationships" r:embed="rId12"/>
        <a:stretch>
          <a:fillRect/>
        </a:stretch>
      </xdr:blipFill>
      <xdr:spPr>
        <a:xfrm>
          <a:off x="5810251" y="4124325"/>
          <a:ext cx="4527707" cy="22860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2.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oleObject" Target="../embeddings/oleObject1.bin"/><Relationship Id="rId2" Type="http://schemas.openxmlformats.org/officeDocument/2006/relationships/vmlDrawing" Target="../drawings/vmlDrawing1.vml"/><Relationship Id="rId1" Type="http://schemas.openxmlformats.org/officeDocument/2006/relationships/drawing" Target="../drawings/drawing5.xml"/><Relationship Id="rId4" Type="http://schemas.openxmlformats.org/officeDocument/2006/relationships/image" Target="../media/image24.emf"/></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C6:V59"/>
  <sheetViews>
    <sheetView topLeftCell="E60" zoomScale="145" zoomScaleNormal="145" workbookViewId="0">
      <selection activeCell="H60" sqref="H60"/>
    </sheetView>
  </sheetViews>
  <sheetFormatPr defaultRowHeight="15" x14ac:dyDescent="0.25"/>
  <cols>
    <col min="4" max="4" width="9.140625" style="2"/>
    <col min="5" max="5" width="35" bestFit="1" customWidth="1"/>
    <col min="9" max="10" width="10.5703125" customWidth="1"/>
    <col min="15" max="15" width="12.85546875" customWidth="1"/>
  </cols>
  <sheetData>
    <row r="6" spans="3:6" x14ac:dyDescent="0.25">
      <c r="C6" s="1"/>
    </row>
    <row r="13" spans="3:6" x14ac:dyDescent="0.25">
      <c r="D13" s="3"/>
      <c r="E13" s="4"/>
      <c r="F13" s="4"/>
    </row>
    <row r="14" spans="3:6" x14ac:dyDescent="0.25">
      <c r="D14" s="3"/>
      <c r="E14" s="4"/>
      <c r="F14" s="4"/>
    </row>
    <row r="16" spans="3:6" x14ac:dyDescent="0.25">
      <c r="D16" s="5"/>
      <c r="E16" s="4"/>
      <c r="F16" s="4"/>
    </row>
    <row r="17" spans="4:21" x14ac:dyDescent="0.25">
      <c r="I17" t="s">
        <v>51</v>
      </c>
      <c r="J17">
        <f>K17*1000</f>
        <v>18000</v>
      </c>
      <c r="K17">
        <v>18</v>
      </c>
    </row>
    <row r="18" spans="4:21" x14ac:dyDescent="0.25">
      <c r="I18" t="s">
        <v>52</v>
      </c>
      <c r="J18">
        <f>K18*1000</f>
        <v>3300</v>
      </c>
      <c r="K18">
        <v>3.3</v>
      </c>
    </row>
    <row r="19" spans="4:21" x14ac:dyDescent="0.25">
      <c r="D19" s="5"/>
      <c r="E19" s="4"/>
      <c r="F19" s="4"/>
      <c r="I19" t="s">
        <v>44</v>
      </c>
      <c r="J19">
        <v>13</v>
      </c>
      <c r="K19" t="s">
        <v>47</v>
      </c>
    </row>
    <row r="20" spans="4:21" x14ac:dyDescent="0.25">
      <c r="D20" s="5"/>
      <c r="E20" s="4"/>
      <c r="F20" s="4"/>
      <c r="I20" t="s">
        <v>45</v>
      </c>
      <c r="J20">
        <v>28</v>
      </c>
      <c r="K20" t="s">
        <v>47</v>
      </c>
    </row>
    <row r="21" spans="4:21" x14ac:dyDescent="0.25">
      <c r="I21" t="s">
        <v>46</v>
      </c>
      <c r="J21">
        <v>0.85</v>
      </c>
      <c r="K21" t="s">
        <v>48</v>
      </c>
      <c r="L21" t="s">
        <v>58</v>
      </c>
    </row>
    <row r="22" spans="4:21" x14ac:dyDescent="0.25">
      <c r="D22" s="5"/>
      <c r="E22" s="4"/>
      <c r="F22" s="4"/>
      <c r="I22" t="s">
        <v>50</v>
      </c>
      <c r="J22">
        <v>2</v>
      </c>
      <c r="K22" t="s">
        <v>48</v>
      </c>
    </row>
    <row r="23" spans="4:21" x14ac:dyDescent="0.25">
      <c r="D23" s="5"/>
      <c r="E23" s="4"/>
      <c r="F23" s="4"/>
      <c r="I23" t="s">
        <v>49</v>
      </c>
      <c r="J23">
        <f>((J22*(J18+J17)*J19)/(J18*J20))-J21</f>
        <v>5.1435064935064938</v>
      </c>
      <c r="O23" s="174" t="s">
        <v>64</v>
      </c>
    </row>
    <row r="24" spans="4:21" x14ac:dyDescent="0.25">
      <c r="L24">
        <f>2*(J17+J18)*J19</f>
        <v>553800</v>
      </c>
      <c r="O24" s="175"/>
    </row>
    <row r="25" spans="4:21" x14ac:dyDescent="0.25">
      <c r="L25">
        <f>J18*J20</f>
        <v>92400</v>
      </c>
      <c r="O25" s="175"/>
    </row>
    <row r="26" spans="4:21" x14ac:dyDescent="0.25">
      <c r="L26">
        <f>L24/L25</f>
        <v>5.9935064935064934</v>
      </c>
      <c r="O26" s="175"/>
      <c r="P26" t="s">
        <v>59</v>
      </c>
      <c r="Q26">
        <v>5.6</v>
      </c>
    </row>
    <row r="27" spans="4:21" x14ac:dyDescent="0.25">
      <c r="L27">
        <f>L26-J21</f>
        <v>5.1435064935064938</v>
      </c>
      <c r="O27" s="175"/>
      <c r="P27" t="s">
        <v>60</v>
      </c>
      <c r="Q27">
        <v>5.42</v>
      </c>
      <c r="U27" s="1"/>
    </row>
    <row r="28" spans="4:21" x14ac:dyDescent="0.25">
      <c r="O28" s="175"/>
      <c r="P28" t="s">
        <v>61</v>
      </c>
      <c r="Q28">
        <v>5.48</v>
      </c>
    </row>
    <row r="29" spans="4:21" x14ac:dyDescent="0.25">
      <c r="O29" s="175"/>
      <c r="P29" t="s">
        <v>62</v>
      </c>
      <c r="Q29">
        <f>(Q26/Q27-1)*100</f>
        <v>3.3210332103321027</v>
      </c>
    </row>
    <row r="30" spans="4:21" x14ac:dyDescent="0.25">
      <c r="O30" s="175"/>
      <c r="P30" t="s">
        <v>63</v>
      </c>
      <c r="Q30">
        <f>(1-Q27/Q28)*100</f>
        <v>1.0948905109489093</v>
      </c>
    </row>
    <row r="31" spans="4:21" x14ac:dyDescent="0.25">
      <c r="O31" s="175"/>
    </row>
    <row r="32" spans="4:21" x14ac:dyDescent="0.25">
      <c r="O32" s="175"/>
    </row>
    <row r="38" spans="7:22" x14ac:dyDescent="0.25">
      <c r="O38" t="s">
        <v>66</v>
      </c>
      <c r="P38">
        <f>(2*1.9)/(0.64*(1/1000)*(J43*J43))</f>
        <v>53437.5</v>
      </c>
    </row>
    <row r="42" spans="7:22" x14ac:dyDescent="0.25">
      <c r="I42" t="s">
        <v>53</v>
      </c>
      <c r="J42">
        <v>1.5</v>
      </c>
    </row>
    <row r="43" spans="7:22" x14ac:dyDescent="0.25">
      <c r="G43" t="s">
        <v>57</v>
      </c>
      <c r="I43" t="s">
        <v>54</v>
      </c>
      <c r="J43">
        <f>0.5/J42</f>
        <v>0.33333333333333331</v>
      </c>
      <c r="K43" t="s">
        <v>55</v>
      </c>
      <c r="U43" t="s">
        <v>65</v>
      </c>
      <c r="V43">
        <f>-(U41+V39)</f>
        <v>0</v>
      </c>
    </row>
    <row r="44" spans="7:22" x14ac:dyDescent="0.25">
      <c r="I44" t="s">
        <v>56</v>
      </c>
      <c r="J44">
        <f>0.25*J43*110/13</f>
        <v>0.70512820512820507</v>
      </c>
      <c r="K44" t="s">
        <v>55</v>
      </c>
    </row>
    <row r="46" spans="7:22" x14ac:dyDescent="0.25">
      <c r="I46" s="176" t="s">
        <v>240</v>
      </c>
      <c r="J46" s="176"/>
      <c r="K46">
        <f>J43*J43*J42</f>
        <v>0.16666666666666666</v>
      </c>
      <c r="L46" t="s">
        <v>213</v>
      </c>
    </row>
    <row r="47" spans="7:22" x14ac:dyDescent="0.25">
      <c r="I47" t="s">
        <v>241</v>
      </c>
      <c r="K47">
        <v>0.4</v>
      </c>
    </row>
    <row r="55" spans="8:10" x14ac:dyDescent="0.25">
      <c r="H55">
        <v>4</v>
      </c>
      <c r="J55">
        <f>(H55*H56*H56)/(H57*H58*H58*H59)</f>
        <v>1118555.8536301455</v>
      </c>
    </row>
    <row r="56" spans="8:10" x14ac:dyDescent="0.25">
      <c r="H56">
        <v>350</v>
      </c>
    </row>
    <row r="57" spans="8:10" x14ac:dyDescent="0.25">
      <c r="H57">
        <f>78/1000000</f>
        <v>7.7999999999999999E-5</v>
      </c>
    </row>
    <row r="58" spans="8:10" x14ac:dyDescent="0.25">
      <c r="H58">
        <f>324/1000</f>
        <v>0.32400000000000001</v>
      </c>
    </row>
    <row r="59" spans="8:10" x14ac:dyDescent="0.25">
      <c r="H59">
        <f>53.5*1000</f>
        <v>53500</v>
      </c>
    </row>
  </sheetData>
  <mergeCells count="2">
    <mergeCell ref="O23:O32"/>
    <mergeCell ref="I46:J46"/>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3C0BA2-5E96-441F-A04E-45F23EBC5E60}">
  <dimension ref="A1:AI52"/>
  <sheetViews>
    <sheetView topLeftCell="A4" zoomScale="70" zoomScaleNormal="70" workbookViewId="0">
      <selection activeCell="AJ36" sqref="AJ36"/>
    </sheetView>
  </sheetViews>
  <sheetFormatPr defaultRowHeight="15" x14ac:dyDescent="0.25"/>
  <cols>
    <col min="1" max="1" width="6" customWidth="1"/>
    <col min="2" max="2" width="7.5703125" customWidth="1"/>
    <col min="3" max="3" width="10.28515625" style="6" customWidth="1"/>
    <col min="4" max="5" width="11.7109375" style="6" customWidth="1"/>
    <col min="6" max="8" width="10.42578125" customWidth="1"/>
    <col min="9" max="10" width="10.28515625" customWidth="1"/>
    <col min="11" max="11" width="10.42578125" customWidth="1"/>
    <col min="12" max="14" width="10.28515625" customWidth="1"/>
    <col min="15" max="17" width="11.28515625" customWidth="1"/>
    <col min="18" max="20" width="10.42578125" customWidth="1"/>
    <col min="21" max="22" width="10.7109375" style="24" customWidth="1"/>
    <col min="24" max="26" width="0" hidden="1" customWidth="1"/>
    <col min="27" max="27" width="12.85546875" style="24" hidden="1" customWidth="1"/>
    <col min="28" max="28" width="11.85546875" style="24" hidden="1" customWidth="1"/>
    <col min="29" max="29" width="13.140625" style="24" hidden="1" customWidth="1"/>
    <col min="30" max="30" width="11.28515625" style="24" hidden="1" customWidth="1"/>
    <col min="31" max="31" width="10.42578125" style="24" hidden="1" customWidth="1"/>
    <col min="32" max="32" width="10.5703125" style="24" hidden="1" customWidth="1"/>
    <col min="33" max="33" width="10.42578125" hidden="1" customWidth="1"/>
    <col min="34" max="34" width="9.7109375" hidden="1" customWidth="1"/>
    <col min="35" max="35" width="11.140625" hidden="1" customWidth="1"/>
  </cols>
  <sheetData>
    <row r="1" spans="1:35" ht="25.5" customHeight="1" x14ac:dyDescent="0.25">
      <c r="A1" s="335" t="s">
        <v>589</v>
      </c>
      <c r="B1" s="335"/>
      <c r="C1" s="335"/>
      <c r="D1" s="335"/>
      <c r="E1" s="335"/>
      <c r="F1" s="335"/>
      <c r="G1" s="335"/>
      <c r="H1" s="335"/>
      <c r="I1" s="335"/>
      <c r="J1" s="335"/>
      <c r="K1" s="335"/>
      <c r="L1" s="335"/>
      <c r="M1" s="335"/>
      <c r="N1" s="335"/>
      <c r="O1" s="335"/>
      <c r="P1" s="335"/>
      <c r="Q1" s="335"/>
      <c r="R1" s="335"/>
      <c r="S1" s="335"/>
      <c r="T1" s="335"/>
      <c r="U1" s="335"/>
      <c r="V1" s="335"/>
    </row>
    <row r="2" spans="1:35" ht="26.25" customHeight="1" x14ac:dyDescent="0.25">
      <c r="A2" s="177" t="s">
        <v>601</v>
      </c>
      <c r="B2" s="177"/>
      <c r="C2" s="177"/>
      <c r="D2" s="177"/>
      <c r="E2" s="177"/>
      <c r="F2" s="177"/>
      <c r="G2" s="177"/>
      <c r="H2" s="177"/>
      <c r="I2" s="177"/>
      <c r="J2" s="177"/>
      <c r="K2" s="177"/>
      <c r="L2" s="177"/>
      <c r="M2" s="177"/>
      <c r="N2" s="177"/>
      <c r="O2" s="177"/>
      <c r="P2" s="177"/>
      <c r="Q2" s="177"/>
      <c r="R2" s="177"/>
      <c r="S2" s="177"/>
      <c r="T2" s="177"/>
      <c r="U2" s="177"/>
      <c r="V2" s="177"/>
      <c r="X2" s="178" t="s">
        <v>612</v>
      </c>
      <c r="Y2" s="178"/>
      <c r="Z2" s="178"/>
      <c r="AA2" s="178"/>
      <c r="AB2" s="178"/>
      <c r="AC2" s="178"/>
      <c r="AD2" s="178"/>
      <c r="AE2" s="178"/>
      <c r="AF2" s="178"/>
      <c r="AG2" s="178"/>
      <c r="AH2" s="178"/>
      <c r="AI2" s="178"/>
    </row>
    <row r="3" spans="1:35" ht="35.25" customHeight="1" x14ac:dyDescent="0.25">
      <c r="A3" s="339" t="s">
        <v>590</v>
      </c>
      <c r="B3" s="336" t="s">
        <v>591</v>
      </c>
      <c r="C3" s="336" t="s">
        <v>595</v>
      </c>
      <c r="D3" s="339" t="s">
        <v>119</v>
      </c>
      <c r="E3" s="318" t="s">
        <v>596</v>
      </c>
      <c r="F3" s="319"/>
      <c r="G3" s="319"/>
      <c r="H3" s="319"/>
      <c r="I3" s="319"/>
      <c r="J3" s="319"/>
      <c r="K3" s="319"/>
      <c r="L3" s="319"/>
      <c r="M3" s="319"/>
      <c r="N3" s="319"/>
      <c r="O3" s="319"/>
      <c r="P3" s="319"/>
      <c r="Q3" s="319"/>
      <c r="R3" s="319"/>
      <c r="S3" s="319"/>
      <c r="T3" s="319"/>
      <c r="U3" s="319"/>
      <c r="V3" s="320"/>
      <c r="X3" s="177" t="s">
        <v>590</v>
      </c>
      <c r="Y3" s="195" t="s">
        <v>591</v>
      </c>
      <c r="Z3" s="177" t="s">
        <v>119</v>
      </c>
      <c r="AA3" s="195" t="s">
        <v>596</v>
      </c>
      <c r="AB3" s="195"/>
      <c r="AC3" s="195"/>
      <c r="AD3" s="195"/>
      <c r="AE3" s="195"/>
      <c r="AF3" s="195"/>
      <c r="AG3" s="195"/>
      <c r="AH3" s="195"/>
      <c r="AI3" s="195"/>
    </row>
    <row r="4" spans="1:35" ht="35.25" customHeight="1" x14ac:dyDescent="0.25">
      <c r="A4" s="340"/>
      <c r="B4" s="337"/>
      <c r="C4" s="337"/>
      <c r="D4" s="340"/>
      <c r="E4" s="318" t="s">
        <v>597</v>
      </c>
      <c r="F4" s="319"/>
      <c r="G4" s="320"/>
      <c r="H4" s="318" t="s">
        <v>598</v>
      </c>
      <c r="I4" s="319"/>
      <c r="J4" s="320"/>
      <c r="K4" s="318" t="s">
        <v>616</v>
      </c>
      <c r="L4" s="319"/>
      <c r="M4" s="320"/>
      <c r="N4" s="318" t="s">
        <v>599</v>
      </c>
      <c r="O4" s="319"/>
      <c r="P4" s="320"/>
      <c r="Q4" s="318" t="s">
        <v>617</v>
      </c>
      <c r="R4" s="319"/>
      <c r="S4" s="320"/>
      <c r="T4" s="288" t="s">
        <v>600</v>
      </c>
      <c r="U4" s="289"/>
      <c r="V4" s="290"/>
      <c r="X4" s="177"/>
      <c r="Y4" s="195"/>
      <c r="Z4" s="177"/>
      <c r="AA4" s="10" t="s">
        <v>610</v>
      </c>
      <c r="AB4" s="10" t="s">
        <v>603</v>
      </c>
      <c r="AC4" s="10" t="s">
        <v>604</v>
      </c>
      <c r="AD4" s="10" t="s">
        <v>605</v>
      </c>
      <c r="AE4" s="10" t="s">
        <v>606</v>
      </c>
      <c r="AF4" s="10" t="s">
        <v>607</v>
      </c>
      <c r="AG4" s="10" t="s">
        <v>608</v>
      </c>
      <c r="AH4" s="10" t="s">
        <v>604</v>
      </c>
      <c r="AI4" s="10" t="s">
        <v>609</v>
      </c>
    </row>
    <row r="5" spans="1:35" ht="28.5" customHeight="1" x14ac:dyDescent="0.25">
      <c r="A5" s="341"/>
      <c r="B5" s="338"/>
      <c r="C5" s="338"/>
      <c r="D5" s="341"/>
      <c r="E5" s="8" t="s">
        <v>613</v>
      </c>
      <c r="F5" s="10" t="s">
        <v>614</v>
      </c>
      <c r="G5" s="10" t="s">
        <v>615</v>
      </c>
      <c r="H5" s="8" t="s">
        <v>613</v>
      </c>
      <c r="I5" s="10" t="s">
        <v>614</v>
      </c>
      <c r="J5" s="10" t="s">
        <v>615</v>
      </c>
      <c r="K5" s="8" t="s">
        <v>613</v>
      </c>
      <c r="L5" s="10" t="s">
        <v>614</v>
      </c>
      <c r="M5" s="10" t="s">
        <v>615</v>
      </c>
      <c r="N5" s="8" t="s">
        <v>613</v>
      </c>
      <c r="O5" s="10" t="s">
        <v>614</v>
      </c>
      <c r="P5" s="10" t="s">
        <v>615</v>
      </c>
      <c r="Q5" s="8" t="s">
        <v>613</v>
      </c>
      <c r="R5" s="10" t="s">
        <v>614</v>
      </c>
      <c r="S5" s="10" t="s">
        <v>615</v>
      </c>
      <c r="T5" s="8" t="s">
        <v>613</v>
      </c>
      <c r="U5" s="10" t="s">
        <v>614</v>
      </c>
      <c r="V5" s="10" t="s">
        <v>615</v>
      </c>
      <c r="X5" s="177"/>
      <c r="Y5" s="195"/>
      <c r="Z5" s="177"/>
      <c r="AA5" s="10"/>
      <c r="AB5" s="10"/>
      <c r="AC5" s="10"/>
      <c r="AD5" s="10"/>
      <c r="AE5" s="10"/>
      <c r="AF5" s="10"/>
      <c r="AG5" s="10"/>
      <c r="AH5" s="10"/>
      <c r="AI5" s="10"/>
    </row>
    <row r="6" spans="1:35" x14ac:dyDescent="0.25">
      <c r="A6" s="327">
        <v>1</v>
      </c>
      <c r="B6" s="177">
        <v>4</v>
      </c>
      <c r="C6" s="321">
        <v>150</v>
      </c>
      <c r="D6" s="12">
        <v>1</v>
      </c>
      <c r="E6" s="12">
        <v>3.3</v>
      </c>
      <c r="F6" s="12">
        <v>3.38</v>
      </c>
      <c r="G6" s="12">
        <v>3.34</v>
      </c>
      <c r="H6" s="12">
        <v>3.3</v>
      </c>
      <c r="I6" s="12">
        <v>3.38</v>
      </c>
      <c r="J6" s="12">
        <v>3.34</v>
      </c>
      <c r="K6" s="12">
        <v>3.28</v>
      </c>
      <c r="L6" s="12">
        <v>3.38</v>
      </c>
      <c r="M6" s="12">
        <v>3.33</v>
      </c>
      <c r="N6" s="12">
        <v>3.28</v>
      </c>
      <c r="O6" s="12">
        <v>3.36</v>
      </c>
      <c r="P6" s="12">
        <v>3.33</v>
      </c>
      <c r="Q6" s="12">
        <v>3.28</v>
      </c>
      <c r="R6" s="12">
        <v>3.36</v>
      </c>
      <c r="S6" s="12">
        <v>3.32</v>
      </c>
      <c r="T6" s="12">
        <v>3.26</v>
      </c>
      <c r="U6" s="79">
        <v>3.34</v>
      </c>
      <c r="V6" s="79">
        <v>3.3</v>
      </c>
      <c r="X6" s="177"/>
      <c r="Y6" s="195"/>
      <c r="Z6" s="177"/>
      <c r="AA6" s="10" t="s">
        <v>387</v>
      </c>
      <c r="AB6" s="10" t="s">
        <v>611</v>
      </c>
      <c r="AC6" s="10" t="s">
        <v>213</v>
      </c>
      <c r="AD6" s="129" t="s">
        <v>180</v>
      </c>
      <c r="AE6" s="10" t="s">
        <v>161</v>
      </c>
      <c r="AF6" s="10" t="s">
        <v>192</v>
      </c>
      <c r="AG6" s="10" t="s">
        <v>611</v>
      </c>
      <c r="AH6" s="10" t="s">
        <v>213</v>
      </c>
      <c r="AI6" s="10" t="s">
        <v>161</v>
      </c>
    </row>
    <row r="7" spans="1:35" x14ac:dyDescent="0.25">
      <c r="A7" s="327"/>
      <c r="B7" s="177"/>
      <c r="C7" s="322"/>
      <c r="D7" s="12">
        <v>2</v>
      </c>
      <c r="E7" s="12">
        <v>3.3</v>
      </c>
      <c r="F7" s="12">
        <v>3.4</v>
      </c>
      <c r="G7" s="12">
        <v>3.36</v>
      </c>
      <c r="H7" s="12">
        <v>3.3</v>
      </c>
      <c r="I7" s="12">
        <v>3.39</v>
      </c>
      <c r="J7" s="12">
        <v>3.36</v>
      </c>
      <c r="K7" s="12">
        <v>3.28</v>
      </c>
      <c r="L7" s="12">
        <v>3.38</v>
      </c>
      <c r="M7" s="12">
        <v>3.34</v>
      </c>
      <c r="N7" s="12">
        <v>3.28</v>
      </c>
      <c r="O7" s="12">
        <v>3.36</v>
      </c>
      <c r="P7" s="12">
        <v>3.33</v>
      </c>
      <c r="Q7" s="12">
        <v>3.24</v>
      </c>
      <c r="R7" s="12">
        <v>3.34</v>
      </c>
      <c r="S7" s="12">
        <v>3.31</v>
      </c>
      <c r="T7" s="12">
        <v>3.24</v>
      </c>
      <c r="U7" s="79">
        <v>3.32</v>
      </c>
      <c r="V7" s="79">
        <v>3.3</v>
      </c>
      <c r="X7" s="321">
        <v>1</v>
      </c>
      <c r="Y7" s="177">
        <v>4</v>
      </c>
      <c r="Z7" s="12">
        <v>1</v>
      </c>
      <c r="AA7" s="329">
        <v>150</v>
      </c>
      <c r="AB7" s="130"/>
      <c r="AC7" s="130"/>
      <c r="AD7" s="130"/>
      <c r="AE7" s="130"/>
      <c r="AF7" s="130"/>
      <c r="AG7" s="132"/>
      <c r="AH7" s="132"/>
      <c r="AI7" s="132"/>
    </row>
    <row r="8" spans="1:35" x14ac:dyDescent="0.25">
      <c r="A8" s="327"/>
      <c r="B8" s="177"/>
      <c r="C8" s="322"/>
      <c r="D8" s="12">
        <v>3</v>
      </c>
      <c r="E8" s="12">
        <v>3.3</v>
      </c>
      <c r="F8" s="12">
        <v>3.4</v>
      </c>
      <c r="G8" s="12">
        <v>3.35</v>
      </c>
      <c r="H8" s="12">
        <v>3.3</v>
      </c>
      <c r="I8" s="12">
        <v>3.4</v>
      </c>
      <c r="J8" s="12">
        <v>3.35</v>
      </c>
      <c r="K8" s="12">
        <v>3.29</v>
      </c>
      <c r="L8" s="12">
        <v>3.39</v>
      </c>
      <c r="M8" s="12">
        <v>3.34</v>
      </c>
      <c r="N8" s="12">
        <v>3.28</v>
      </c>
      <c r="O8" s="12">
        <v>3.36</v>
      </c>
      <c r="P8" s="12">
        <v>3.34</v>
      </c>
      <c r="Q8" s="12">
        <v>3.26</v>
      </c>
      <c r="R8" s="12">
        <v>3.34</v>
      </c>
      <c r="S8" s="12">
        <v>3.31</v>
      </c>
      <c r="T8" s="12">
        <v>3.26</v>
      </c>
      <c r="U8" s="79">
        <v>3.34</v>
      </c>
      <c r="V8" s="79">
        <v>3.31</v>
      </c>
      <c r="X8" s="322"/>
      <c r="Y8" s="177"/>
      <c r="Z8" s="12">
        <v>2</v>
      </c>
      <c r="AA8" s="330"/>
      <c r="AB8" s="130"/>
      <c r="AC8" s="130"/>
      <c r="AD8" s="130"/>
      <c r="AE8" s="130"/>
      <c r="AF8" s="130"/>
      <c r="AG8" s="132"/>
      <c r="AH8" s="132"/>
      <c r="AI8" s="132"/>
    </row>
    <row r="9" spans="1:35" x14ac:dyDescent="0.25">
      <c r="A9" s="327"/>
      <c r="B9" s="177"/>
      <c r="C9" s="322"/>
      <c r="D9" s="12">
        <v>4</v>
      </c>
      <c r="E9" s="12">
        <v>3.3</v>
      </c>
      <c r="F9" s="12">
        <v>3.38</v>
      </c>
      <c r="G9" s="12">
        <v>3.34</v>
      </c>
      <c r="H9" s="12">
        <v>3.3</v>
      </c>
      <c r="I9" s="12">
        <v>3.38</v>
      </c>
      <c r="J9" s="12">
        <v>3.34</v>
      </c>
      <c r="K9" s="12">
        <v>3.28</v>
      </c>
      <c r="L9" s="12">
        <v>3.38</v>
      </c>
      <c r="M9" s="12">
        <v>3.33</v>
      </c>
      <c r="N9" s="12">
        <v>3.28</v>
      </c>
      <c r="O9" s="12">
        <v>3.36</v>
      </c>
      <c r="P9" s="12">
        <v>3.33</v>
      </c>
      <c r="Q9" s="12">
        <v>3.28</v>
      </c>
      <c r="R9" s="12">
        <v>3.36</v>
      </c>
      <c r="S9" s="12">
        <v>3.32</v>
      </c>
      <c r="T9" s="12">
        <v>3.26</v>
      </c>
      <c r="U9" s="79">
        <v>3.34</v>
      </c>
      <c r="V9" s="79">
        <v>3.31</v>
      </c>
      <c r="X9" s="322"/>
      <c r="Y9" s="177"/>
      <c r="Z9" s="12">
        <v>3</v>
      </c>
      <c r="AA9" s="330"/>
      <c r="AB9" s="130"/>
      <c r="AC9" s="130"/>
      <c r="AD9" s="130"/>
      <c r="AE9" s="130"/>
      <c r="AF9" s="130"/>
      <c r="AG9" s="132"/>
      <c r="AH9" s="132"/>
      <c r="AI9" s="132"/>
    </row>
    <row r="10" spans="1:35" x14ac:dyDescent="0.25">
      <c r="A10" s="327"/>
      <c r="B10" s="177"/>
      <c r="C10" s="322"/>
      <c r="D10" s="12" t="s">
        <v>594</v>
      </c>
      <c r="E10" s="12">
        <f>AVERAGE(E6:E9)</f>
        <v>3.3</v>
      </c>
      <c r="F10" s="12">
        <f t="shared" ref="F10:V10" si="0">AVERAGE(F6:F9)</f>
        <v>3.3899999999999997</v>
      </c>
      <c r="G10" s="12">
        <f t="shared" si="0"/>
        <v>3.3474999999999997</v>
      </c>
      <c r="H10" s="12">
        <f t="shared" si="0"/>
        <v>3.3</v>
      </c>
      <c r="I10" s="12">
        <f t="shared" si="0"/>
        <v>3.3875000000000002</v>
      </c>
      <c r="J10" s="12">
        <f t="shared" si="0"/>
        <v>3.3474999999999997</v>
      </c>
      <c r="K10" s="12">
        <f t="shared" si="0"/>
        <v>3.2824999999999998</v>
      </c>
      <c r="L10" s="12">
        <f t="shared" si="0"/>
        <v>3.3825000000000003</v>
      </c>
      <c r="M10" s="12">
        <f t="shared" si="0"/>
        <v>3.335</v>
      </c>
      <c r="N10" s="12">
        <f t="shared" si="0"/>
        <v>3.28</v>
      </c>
      <c r="O10" s="12">
        <f t="shared" si="0"/>
        <v>3.36</v>
      </c>
      <c r="P10" s="12">
        <f t="shared" si="0"/>
        <v>3.3325</v>
      </c>
      <c r="Q10" s="12">
        <f t="shared" si="0"/>
        <v>3.2649999999999997</v>
      </c>
      <c r="R10" s="12">
        <f t="shared" si="0"/>
        <v>3.3499999999999996</v>
      </c>
      <c r="S10" s="12">
        <f t="shared" si="0"/>
        <v>3.3149999999999999</v>
      </c>
      <c r="T10" s="12">
        <f t="shared" si="0"/>
        <v>3.2549999999999999</v>
      </c>
      <c r="U10" s="12">
        <f t="shared" si="0"/>
        <v>3.335</v>
      </c>
      <c r="V10" s="12">
        <f t="shared" si="0"/>
        <v>3.3050000000000002</v>
      </c>
      <c r="X10" s="322"/>
      <c r="Y10" s="177"/>
      <c r="Z10" s="12">
        <v>4</v>
      </c>
      <c r="AA10" s="330"/>
      <c r="AB10" s="130"/>
      <c r="AC10" s="130"/>
      <c r="AD10" s="130"/>
      <c r="AE10" s="130"/>
      <c r="AF10" s="130"/>
      <c r="AG10" s="132"/>
      <c r="AH10" s="132"/>
      <c r="AI10" s="132"/>
    </row>
    <row r="11" spans="1:35" x14ac:dyDescent="0.25">
      <c r="A11" s="327"/>
      <c r="B11" s="177"/>
      <c r="C11" s="322"/>
      <c r="D11" s="12" t="s">
        <v>592</v>
      </c>
      <c r="E11" s="12">
        <f>MAX(E6:E9)</f>
        <v>3.3</v>
      </c>
      <c r="F11" s="12">
        <f t="shared" ref="F11:V11" si="1">MAX(F6:F9)</f>
        <v>3.4</v>
      </c>
      <c r="G11" s="12">
        <f t="shared" si="1"/>
        <v>3.36</v>
      </c>
      <c r="H11" s="12">
        <f t="shared" si="1"/>
        <v>3.3</v>
      </c>
      <c r="I11" s="12">
        <f t="shared" si="1"/>
        <v>3.4</v>
      </c>
      <c r="J11" s="12">
        <f t="shared" si="1"/>
        <v>3.36</v>
      </c>
      <c r="K11" s="12">
        <f t="shared" si="1"/>
        <v>3.29</v>
      </c>
      <c r="L11" s="12">
        <f t="shared" si="1"/>
        <v>3.39</v>
      </c>
      <c r="M11" s="12">
        <f t="shared" si="1"/>
        <v>3.34</v>
      </c>
      <c r="N11" s="12">
        <f t="shared" si="1"/>
        <v>3.28</v>
      </c>
      <c r="O11" s="12">
        <f t="shared" si="1"/>
        <v>3.36</v>
      </c>
      <c r="P11" s="12">
        <f t="shared" si="1"/>
        <v>3.34</v>
      </c>
      <c r="Q11" s="12">
        <f t="shared" si="1"/>
        <v>3.28</v>
      </c>
      <c r="R11" s="12">
        <f t="shared" si="1"/>
        <v>3.36</v>
      </c>
      <c r="S11" s="12">
        <f t="shared" si="1"/>
        <v>3.32</v>
      </c>
      <c r="T11" s="12">
        <f t="shared" si="1"/>
        <v>3.26</v>
      </c>
      <c r="U11" s="12">
        <f t="shared" si="1"/>
        <v>3.34</v>
      </c>
      <c r="V11" s="12">
        <f t="shared" si="1"/>
        <v>3.31</v>
      </c>
      <c r="X11" s="322"/>
      <c r="Y11" s="177"/>
      <c r="Z11" s="12" t="s">
        <v>594</v>
      </c>
      <c r="AA11" s="330"/>
      <c r="AB11" s="130"/>
      <c r="AC11" s="130"/>
      <c r="AD11" s="130"/>
      <c r="AE11" s="130"/>
      <c r="AF11" s="130"/>
      <c r="AG11" s="132"/>
      <c r="AH11" s="132"/>
      <c r="AI11" s="132"/>
    </row>
    <row r="12" spans="1:35" x14ac:dyDescent="0.25">
      <c r="A12" s="327"/>
      <c r="B12" s="177"/>
      <c r="C12" s="323"/>
      <c r="D12" s="12" t="s">
        <v>593</v>
      </c>
      <c r="E12" s="12">
        <f>MIN(E6:E9)</f>
        <v>3.3</v>
      </c>
      <c r="F12" s="12">
        <f t="shared" ref="F12:V12" si="2">MIN(F6:F9)</f>
        <v>3.38</v>
      </c>
      <c r="G12" s="12">
        <f t="shared" si="2"/>
        <v>3.34</v>
      </c>
      <c r="H12" s="12">
        <f t="shared" si="2"/>
        <v>3.3</v>
      </c>
      <c r="I12" s="12">
        <f t="shared" si="2"/>
        <v>3.38</v>
      </c>
      <c r="J12" s="12">
        <f t="shared" si="2"/>
        <v>3.34</v>
      </c>
      <c r="K12" s="12">
        <f t="shared" si="2"/>
        <v>3.28</v>
      </c>
      <c r="L12" s="12">
        <f t="shared" si="2"/>
        <v>3.38</v>
      </c>
      <c r="M12" s="12">
        <f t="shared" si="2"/>
        <v>3.33</v>
      </c>
      <c r="N12" s="12">
        <f t="shared" si="2"/>
        <v>3.28</v>
      </c>
      <c r="O12" s="12">
        <f t="shared" si="2"/>
        <v>3.36</v>
      </c>
      <c r="P12" s="12">
        <f t="shared" si="2"/>
        <v>3.33</v>
      </c>
      <c r="Q12" s="12">
        <f t="shared" si="2"/>
        <v>3.24</v>
      </c>
      <c r="R12" s="12">
        <f t="shared" si="2"/>
        <v>3.34</v>
      </c>
      <c r="S12" s="12">
        <f t="shared" si="2"/>
        <v>3.31</v>
      </c>
      <c r="T12" s="12">
        <f t="shared" si="2"/>
        <v>3.24</v>
      </c>
      <c r="U12" s="12">
        <f t="shared" si="2"/>
        <v>3.32</v>
      </c>
      <c r="V12" s="12">
        <f t="shared" si="2"/>
        <v>3.3</v>
      </c>
      <c r="X12" s="322"/>
      <c r="Y12" s="177"/>
      <c r="Z12" s="12" t="s">
        <v>592</v>
      </c>
      <c r="AA12" s="330"/>
      <c r="AB12" s="130"/>
      <c r="AC12" s="130"/>
      <c r="AD12" s="130"/>
      <c r="AE12" s="130"/>
      <c r="AF12" s="130"/>
      <c r="AG12" s="132"/>
      <c r="AH12" s="132"/>
      <c r="AI12" s="132"/>
    </row>
    <row r="13" spans="1:35" x14ac:dyDescent="0.25">
      <c r="A13" s="328">
        <v>2</v>
      </c>
      <c r="B13" s="177"/>
      <c r="C13" s="324">
        <v>220</v>
      </c>
      <c r="D13" s="13">
        <v>1</v>
      </c>
      <c r="E13" s="13">
        <v>3.3</v>
      </c>
      <c r="F13" s="13">
        <v>3.38</v>
      </c>
      <c r="G13" s="13">
        <v>3.34</v>
      </c>
      <c r="H13" s="13">
        <v>3.3</v>
      </c>
      <c r="I13" s="13">
        <v>3.38</v>
      </c>
      <c r="J13" s="13">
        <v>3.34</v>
      </c>
      <c r="K13" s="13">
        <v>3.28</v>
      </c>
      <c r="L13" s="13">
        <v>3.38</v>
      </c>
      <c r="M13" s="13">
        <v>3.33</v>
      </c>
      <c r="N13" s="13">
        <v>3.28</v>
      </c>
      <c r="O13" s="13">
        <v>3.36</v>
      </c>
      <c r="P13" s="13">
        <v>3.33</v>
      </c>
      <c r="Q13" s="13">
        <v>3.28</v>
      </c>
      <c r="R13" s="13">
        <v>3.36</v>
      </c>
      <c r="S13" s="13">
        <v>3.32</v>
      </c>
      <c r="T13" s="13">
        <v>3.26</v>
      </c>
      <c r="U13" s="17">
        <v>3.34</v>
      </c>
      <c r="V13" s="17">
        <v>3.3</v>
      </c>
      <c r="X13" s="323"/>
      <c r="Y13" s="177"/>
      <c r="Z13" s="12" t="s">
        <v>593</v>
      </c>
      <c r="AA13" s="331"/>
      <c r="AB13" s="130"/>
      <c r="AC13" s="130"/>
      <c r="AD13" s="130"/>
      <c r="AE13" s="130"/>
      <c r="AF13" s="130"/>
      <c r="AG13" s="132"/>
      <c r="AH13" s="132"/>
      <c r="AI13" s="132"/>
    </row>
    <row r="14" spans="1:35" x14ac:dyDescent="0.25">
      <c r="A14" s="328"/>
      <c r="B14" s="177"/>
      <c r="C14" s="325"/>
      <c r="D14" s="13">
        <v>2</v>
      </c>
      <c r="E14" s="13">
        <v>3.3</v>
      </c>
      <c r="F14" s="13">
        <v>3.4</v>
      </c>
      <c r="G14" s="13">
        <v>3.36</v>
      </c>
      <c r="H14" s="13">
        <v>3.3</v>
      </c>
      <c r="I14" s="13">
        <v>3.39</v>
      </c>
      <c r="J14" s="13">
        <v>3.36</v>
      </c>
      <c r="K14" s="13">
        <v>3.28</v>
      </c>
      <c r="L14" s="13">
        <v>3.38</v>
      </c>
      <c r="M14" s="13">
        <v>3.34</v>
      </c>
      <c r="N14" s="13">
        <v>3.28</v>
      </c>
      <c r="O14" s="13">
        <v>3.36</v>
      </c>
      <c r="P14" s="13">
        <v>3.33</v>
      </c>
      <c r="Q14" s="13">
        <v>3.24</v>
      </c>
      <c r="R14" s="13">
        <v>3.34</v>
      </c>
      <c r="S14" s="13">
        <v>3.31</v>
      </c>
      <c r="T14" s="13">
        <v>3.24</v>
      </c>
      <c r="U14" s="17">
        <v>3.32</v>
      </c>
      <c r="V14" s="17">
        <v>3.3</v>
      </c>
      <c r="X14" s="324">
        <v>2</v>
      </c>
      <c r="Y14" s="177"/>
      <c r="Z14" s="8">
        <v>1</v>
      </c>
      <c r="AA14" s="332">
        <v>220</v>
      </c>
      <c r="AB14" s="133"/>
      <c r="AC14" s="133"/>
      <c r="AD14" s="133"/>
      <c r="AE14" s="133"/>
      <c r="AF14" s="133"/>
      <c r="AG14" s="18"/>
      <c r="AH14" s="18"/>
      <c r="AI14" s="18"/>
    </row>
    <row r="15" spans="1:35" x14ac:dyDescent="0.25">
      <c r="A15" s="328"/>
      <c r="B15" s="177"/>
      <c r="C15" s="325"/>
      <c r="D15" s="13">
        <v>3</v>
      </c>
      <c r="E15" s="13">
        <v>3.3</v>
      </c>
      <c r="F15" s="13">
        <v>3.4</v>
      </c>
      <c r="G15" s="13">
        <v>3.35</v>
      </c>
      <c r="H15" s="13">
        <v>3.3</v>
      </c>
      <c r="I15" s="13">
        <v>3.4</v>
      </c>
      <c r="J15" s="13">
        <v>3.35</v>
      </c>
      <c r="K15" s="13">
        <v>3.29</v>
      </c>
      <c r="L15" s="13">
        <v>3.39</v>
      </c>
      <c r="M15" s="13">
        <v>3.34</v>
      </c>
      <c r="N15" s="13">
        <v>3.28</v>
      </c>
      <c r="O15" s="13">
        <v>3.36</v>
      </c>
      <c r="P15" s="13">
        <v>3.34</v>
      </c>
      <c r="Q15" s="13">
        <v>3.26</v>
      </c>
      <c r="R15" s="13">
        <v>3.34</v>
      </c>
      <c r="S15" s="13">
        <v>3.31</v>
      </c>
      <c r="T15" s="13">
        <v>3.26</v>
      </c>
      <c r="U15" s="17">
        <v>3.34</v>
      </c>
      <c r="V15" s="17">
        <v>3.31</v>
      </c>
      <c r="X15" s="325"/>
      <c r="Y15" s="177"/>
      <c r="Z15" s="8">
        <v>2</v>
      </c>
      <c r="AA15" s="333"/>
      <c r="AB15" s="133"/>
      <c r="AC15" s="133"/>
      <c r="AD15" s="133"/>
      <c r="AE15" s="133"/>
      <c r="AF15" s="133"/>
      <c r="AG15" s="18"/>
      <c r="AH15" s="18"/>
      <c r="AI15" s="18"/>
    </row>
    <row r="16" spans="1:35" x14ac:dyDescent="0.25">
      <c r="A16" s="328"/>
      <c r="B16" s="177"/>
      <c r="C16" s="325"/>
      <c r="D16" s="13">
        <v>4</v>
      </c>
      <c r="E16" s="13">
        <v>3.3</v>
      </c>
      <c r="F16" s="13">
        <v>3.38</v>
      </c>
      <c r="G16" s="13">
        <v>3.34</v>
      </c>
      <c r="H16" s="13">
        <v>3.3</v>
      </c>
      <c r="I16" s="13">
        <v>3.38</v>
      </c>
      <c r="J16" s="13">
        <v>3.34</v>
      </c>
      <c r="K16" s="13">
        <v>3.28</v>
      </c>
      <c r="L16" s="13">
        <v>3.38</v>
      </c>
      <c r="M16" s="13">
        <v>3.33</v>
      </c>
      <c r="N16" s="13">
        <v>3.28</v>
      </c>
      <c r="O16" s="13">
        <v>3.36</v>
      </c>
      <c r="P16" s="13">
        <v>3.33</v>
      </c>
      <c r="Q16" s="13">
        <v>3.28</v>
      </c>
      <c r="R16" s="13">
        <v>3.36</v>
      </c>
      <c r="S16" s="13">
        <v>3.32</v>
      </c>
      <c r="T16" s="13">
        <v>3.26</v>
      </c>
      <c r="U16" s="17">
        <v>3.34</v>
      </c>
      <c r="V16" s="17">
        <v>3.31</v>
      </c>
      <c r="X16" s="325"/>
      <c r="Y16" s="177"/>
      <c r="Z16" s="8">
        <v>3</v>
      </c>
      <c r="AA16" s="333"/>
      <c r="AB16" s="133"/>
      <c r="AC16" s="133"/>
      <c r="AD16" s="133"/>
      <c r="AE16" s="133"/>
      <c r="AF16" s="133"/>
      <c r="AG16" s="18"/>
      <c r="AH16" s="18"/>
      <c r="AI16" s="18"/>
    </row>
    <row r="17" spans="1:35" x14ac:dyDescent="0.25">
      <c r="A17" s="328"/>
      <c r="B17" s="177"/>
      <c r="C17" s="325"/>
      <c r="D17" s="13" t="s">
        <v>594</v>
      </c>
      <c r="E17" s="13">
        <f>AVERAGE(E13:E16)</f>
        <v>3.3</v>
      </c>
      <c r="F17" s="13">
        <f t="shared" ref="F17:V17" si="3">AVERAGE(F13:F16)</f>
        <v>3.3899999999999997</v>
      </c>
      <c r="G17" s="13">
        <f t="shared" si="3"/>
        <v>3.3474999999999997</v>
      </c>
      <c r="H17" s="13">
        <f t="shared" si="3"/>
        <v>3.3</v>
      </c>
      <c r="I17" s="13">
        <f t="shared" si="3"/>
        <v>3.3875000000000002</v>
      </c>
      <c r="J17" s="13">
        <f t="shared" si="3"/>
        <v>3.3474999999999997</v>
      </c>
      <c r="K17" s="13">
        <f t="shared" si="3"/>
        <v>3.2824999999999998</v>
      </c>
      <c r="L17" s="13">
        <f t="shared" si="3"/>
        <v>3.3825000000000003</v>
      </c>
      <c r="M17" s="13">
        <f t="shared" si="3"/>
        <v>3.335</v>
      </c>
      <c r="N17" s="13">
        <f t="shared" si="3"/>
        <v>3.28</v>
      </c>
      <c r="O17" s="13">
        <f t="shared" si="3"/>
        <v>3.36</v>
      </c>
      <c r="P17" s="13">
        <f t="shared" si="3"/>
        <v>3.3325</v>
      </c>
      <c r="Q17" s="13">
        <f t="shared" si="3"/>
        <v>3.2649999999999997</v>
      </c>
      <c r="R17" s="13">
        <f t="shared" si="3"/>
        <v>3.3499999999999996</v>
      </c>
      <c r="S17" s="13">
        <f t="shared" si="3"/>
        <v>3.3149999999999999</v>
      </c>
      <c r="T17" s="13">
        <f t="shared" si="3"/>
        <v>3.2549999999999999</v>
      </c>
      <c r="U17" s="13">
        <f t="shared" si="3"/>
        <v>3.335</v>
      </c>
      <c r="V17" s="13">
        <f t="shared" si="3"/>
        <v>3.3050000000000002</v>
      </c>
      <c r="X17" s="325"/>
      <c r="Y17" s="177"/>
      <c r="Z17" s="8">
        <v>4</v>
      </c>
      <c r="AA17" s="333"/>
      <c r="AB17" s="133"/>
      <c r="AC17" s="133"/>
      <c r="AD17" s="133"/>
      <c r="AE17" s="133"/>
      <c r="AF17" s="133"/>
      <c r="AG17" s="18"/>
      <c r="AH17" s="18"/>
      <c r="AI17" s="18"/>
    </row>
    <row r="18" spans="1:35" x14ac:dyDescent="0.25">
      <c r="A18" s="328"/>
      <c r="B18" s="177"/>
      <c r="C18" s="325"/>
      <c r="D18" s="13" t="s">
        <v>592</v>
      </c>
      <c r="E18" s="13">
        <f>MAX(E13:E16)</f>
        <v>3.3</v>
      </c>
      <c r="F18" s="13">
        <f t="shared" ref="F18:V18" si="4">MAX(F13:F16)</f>
        <v>3.4</v>
      </c>
      <c r="G18" s="13">
        <f t="shared" si="4"/>
        <v>3.36</v>
      </c>
      <c r="H18" s="13">
        <f t="shared" si="4"/>
        <v>3.3</v>
      </c>
      <c r="I18" s="13">
        <f t="shared" si="4"/>
        <v>3.4</v>
      </c>
      <c r="J18" s="13">
        <f t="shared" si="4"/>
        <v>3.36</v>
      </c>
      <c r="K18" s="13">
        <f t="shared" si="4"/>
        <v>3.29</v>
      </c>
      <c r="L18" s="13">
        <f t="shared" si="4"/>
        <v>3.39</v>
      </c>
      <c r="M18" s="13">
        <f t="shared" si="4"/>
        <v>3.34</v>
      </c>
      <c r="N18" s="13">
        <f t="shared" si="4"/>
        <v>3.28</v>
      </c>
      <c r="O18" s="13">
        <f t="shared" si="4"/>
        <v>3.36</v>
      </c>
      <c r="P18" s="13">
        <f t="shared" si="4"/>
        <v>3.34</v>
      </c>
      <c r="Q18" s="13">
        <f t="shared" si="4"/>
        <v>3.28</v>
      </c>
      <c r="R18" s="13">
        <f t="shared" si="4"/>
        <v>3.36</v>
      </c>
      <c r="S18" s="13">
        <f t="shared" si="4"/>
        <v>3.32</v>
      </c>
      <c r="T18" s="13">
        <f t="shared" si="4"/>
        <v>3.26</v>
      </c>
      <c r="U18" s="13">
        <f t="shared" si="4"/>
        <v>3.34</v>
      </c>
      <c r="V18" s="13">
        <f t="shared" si="4"/>
        <v>3.31</v>
      </c>
      <c r="X18" s="325"/>
      <c r="Y18" s="177"/>
      <c r="Z18" s="8" t="s">
        <v>594</v>
      </c>
      <c r="AA18" s="333"/>
      <c r="AB18" s="133"/>
      <c r="AC18" s="133"/>
      <c r="AD18" s="133"/>
      <c r="AE18" s="133"/>
      <c r="AF18" s="133"/>
      <c r="AG18" s="18"/>
      <c r="AH18" s="18"/>
      <c r="AI18" s="18"/>
    </row>
    <row r="19" spans="1:35" x14ac:dyDescent="0.25">
      <c r="A19" s="328"/>
      <c r="B19" s="177"/>
      <c r="C19" s="326"/>
      <c r="D19" s="13" t="s">
        <v>593</v>
      </c>
      <c r="E19" s="13">
        <f>MIN(E13:E16)</f>
        <v>3.3</v>
      </c>
      <c r="F19" s="13">
        <f t="shared" ref="F19:V19" si="5">MIN(F13:F16)</f>
        <v>3.38</v>
      </c>
      <c r="G19" s="13">
        <f t="shared" si="5"/>
        <v>3.34</v>
      </c>
      <c r="H19" s="13">
        <f t="shared" si="5"/>
        <v>3.3</v>
      </c>
      <c r="I19" s="13">
        <f t="shared" si="5"/>
        <v>3.38</v>
      </c>
      <c r="J19" s="13">
        <f t="shared" si="5"/>
        <v>3.34</v>
      </c>
      <c r="K19" s="13">
        <f t="shared" si="5"/>
        <v>3.28</v>
      </c>
      <c r="L19" s="13">
        <f t="shared" si="5"/>
        <v>3.38</v>
      </c>
      <c r="M19" s="13">
        <f t="shared" si="5"/>
        <v>3.33</v>
      </c>
      <c r="N19" s="13">
        <f t="shared" si="5"/>
        <v>3.28</v>
      </c>
      <c r="O19" s="13">
        <f t="shared" si="5"/>
        <v>3.36</v>
      </c>
      <c r="P19" s="13">
        <f t="shared" si="5"/>
        <v>3.33</v>
      </c>
      <c r="Q19" s="13">
        <f t="shared" si="5"/>
        <v>3.24</v>
      </c>
      <c r="R19" s="13">
        <f t="shared" si="5"/>
        <v>3.34</v>
      </c>
      <c r="S19" s="13">
        <f t="shared" si="5"/>
        <v>3.31</v>
      </c>
      <c r="T19" s="13">
        <f t="shared" si="5"/>
        <v>3.24</v>
      </c>
      <c r="U19" s="13">
        <f t="shared" si="5"/>
        <v>3.32</v>
      </c>
      <c r="V19" s="13">
        <f t="shared" si="5"/>
        <v>3.3</v>
      </c>
      <c r="X19" s="325"/>
      <c r="Y19" s="177"/>
      <c r="Z19" s="8" t="s">
        <v>592</v>
      </c>
      <c r="AA19" s="333"/>
      <c r="AB19" s="133"/>
      <c r="AC19" s="133"/>
      <c r="AD19" s="133"/>
      <c r="AE19" s="133"/>
      <c r="AF19" s="133"/>
      <c r="AG19" s="18"/>
      <c r="AH19" s="18"/>
      <c r="AI19" s="18"/>
    </row>
    <row r="20" spans="1:35" x14ac:dyDescent="0.25">
      <c r="A20" s="327">
        <v>3</v>
      </c>
      <c r="B20" s="177"/>
      <c r="C20" s="321">
        <v>265</v>
      </c>
      <c r="D20" s="12">
        <v>1</v>
      </c>
      <c r="E20" s="12">
        <v>3.3</v>
      </c>
      <c r="F20" s="12">
        <v>3.38</v>
      </c>
      <c r="G20" s="12">
        <v>3.34</v>
      </c>
      <c r="H20" s="12">
        <v>3.3</v>
      </c>
      <c r="I20" s="12">
        <v>3.38</v>
      </c>
      <c r="J20" s="12">
        <v>3.34</v>
      </c>
      <c r="K20" s="12">
        <v>3.28</v>
      </c>
      <c r="L20" s="12">
        <v>3.38</v>
      </c>
      <c r="M20" s="12">
        <v>3.33</v>
      </c>
      <c r="N20" s="12">
        <v>3.28</v>
      </c>
      <c r="O20" s="12">
        <v>3.36</v>
      </c>
      <c r="P20" s="12">
        <v>3.33</v>
      </c>
      <c r="Q20" s="12">
        <v>3.28</v>
      </c>
      <c r="R20" s="12">
        <v>3.36</v>
      </c>
      <c r="S20" s="12">
        <v>3.32</v>
      </c>
      <c r="T20" s="12">
        <v>3.26</v>
      </c>
      <c r="U20" s="79">
        <v>3.34</v>
      </c>
      <c r="V20" s="79">
        <v>3.3</v>
      </c>
      <c r="X20" s="326"/>
      <c r="Y20" s="177"/>
      <c r="Z20" s="8" t="s">
        <v>593</v>
      </c>
      <c r="AA20" s="334"/>
      <c r="AB20" s="133"/>
      <c r="AC20" s="133"/>
      <c r="AD20" s="133"/>
      <c r="AE20" s="133"/>
      <c r="AF20" s="133"/>
      <c r="AG20" s="18"/>
      <c r="AH20" s="18"/>
      <c r="AI20" s="18"/>
    </row>
    <row r="21" spans="1:35" x14ac:dyDescent="0.25">
      <c r="A21" s="327"/>
      <c r="B21" s="177"/>
      <c r="C21" s="322"/>
      <c r="D21" s="12">
        <v>2</v>
      </c>
      <c r="E21" s="12">
        <v>3.3</v>
      </c>
      <c r="F21" s="12">
        <v>3.4</v>
      </c>
      <c r="G21" s="12">
        <v>3.36</v>
      </c>
      <c r="H21" s="12">
        <v>3.3</v>
      </c>
      <c r="I21" s="12">
        <v>3.39</v>
      </c>
      <c r="J21" s="12">
        <v>3.36</v>
      </c>
      <c r="K21" s="12">
        <v>3.28</v>
      </c>
      <c r="L21" s="12">
        <v>3.38</v>
      </c>
      <c r="M21" s="12">
        <v>3.34</v>
      </c>
      <c r="N21" s="12">
        <v>3.28</v>
      </c>
      <c r="O21" s="12">
        <v>3.36</v>
      </c>
      <c r="P21" s="12">
        <v>3.33</v>
      </c>
      <c r="Q21" s="12">
        <v>3.24</v>
      </c>
      <c r="R21" s="12">
        <v>3.34</v>
      </c>
      <c r="S21" s="12">
        <v>3.31</v>
      </c>
      <c r="T21" s="12">
        <v>3.24</v>
      </c>
      <c r="U21" s="79">
        <v>3.32</v>
      </c>
      <c r="V21" s="79">
        <v>3.3</v>
      </c>
      <c r="X21" s="321">
        <v>3</v>
      </c>
      <c r="Y21" s="177"/>
      <c r="Z21" s="8">
        <v>1</v>
      </c>
      <c r="AA21" s="329">
        <v>265</v>
      </c>
      <c r="AB21" s="130"/>
      <c r="AC21" s="130"/>
      <c r="AD21" s="130"/>
      <c r="AE21" s="130"/>
      <c r="AF21" s="130"/>
      <c r="AG21" s="132"/>
      <c r="AH21" s="132"/>
      <c r="AI21" s="132"/>
    </row>
    <row r="22" spans="1:35" x14ac:dyDescent="0.25">
      <c r="A22" s="327"/>
      <c r="B22" s="177"/>
      <c r="C22" s="322"/>
      <c r="D22" s="12">
        <v>3</v>
      </c>
      <c r="E22" s="12">
        <v>3.3</v>
      </c>
      <c r="F22" s="12">
        <v>3.4</v>
      </c>
      <c r="G22" s="12">
        <v>3.35</v>
      </c>
      <c r="H22" s="12">
        <v>3.3</v>
      </c>
      <c r="I22" s="12">
        <v>3.4</v>
      </c>
      <c r="J22" s="12">
        <v>3.35</v>
      </c>
      <c r="K22" s="12">
        <v>3.29</v>
      </c>
      <c r="L22" s="12">
        <v>3.39</v>
      </c>
      <c r="M22" s="12">
        <v>3.34</v>
      </c>
      <c r="N22" s="12">
        <v>3.28</v>
      </c>
      <c r="O22" s="12">
        <v>3.36</v>
      </c>
      <c r="P22" s="12">
        <v>3.34</v>
      </c>
      <c r="Q22" s="12">
        <v>3.26</v>
      </c>
      <c r="R22" s="12">
        <v>3.34</v>
      </c>
      <c r="S22" s="12">
        <v>3.31</v>
      </c>
      <c r="T22" s="12">
        <v>3.26</v>
      </c>
      <c r="U22" s="79">
        <v>3.34</v>
      </c>
      <c r="V22" s="79">
        <v>3.31</v>
      </c>
      <c r="X22" s="322"/>
      <c r="Y22" s="177"/>
      <c r="Z22" s="8">
        <v>2</v>
      </c>
      <c r="AA22" s="330"/>
      <c r="AB22" s="130"/>
      <c r="AC22" s="130"/>
      <c r="AD22" s="130"/>
      <c r="AE22" s="130"/>
      <c r="AF22" s="130"/>
      <c r="AG22" s="132"/>
      <c r="AH22" s="132"/>
      <c r="AI22" s="132"/>
    </row>
    <row r="23" spans="1:35" x14ac:dyDescent="0.25">
      <c r="A23" s="327"/>
      <c r="B23" s="177"/>
      <c r="C23" s="322"/>
      <c r="D23" s="12">
        <v>4</v>
      </c>
      <c r="E23" s="12">
        <v>3.3</v>
      </c>
      <c r="F23" s="12">
        <v>3.38</v>
      </c>
      <c r="G23" s="12">
        <v>3.34</v>
      </c>
      <c r="H23" s="12">
        <v>3.3</v>
      </c>
      <c r="I23" s="12">
        <v>3.38</v>
      </c>
      <c r="J23" s="12">
        <v>3.34</v>
      </c>
      <c r="K23" s="12">
        <v>3.28</v>
      </c>
      <c r="L23" s="12">
        <v>3.38</v>
      </c>
      <c r="M23" s="12">
        <v>3.33</v>
      </c>
      <c r="N23" s="12">
        <v>3.28</v>
      </c>
      <c r="O23" s="12">
        <v>3.36</v>
      </c>
      <c r="P23" s="12">
        <v>3.33</v>
      </c>
      <c r="Q23" s="12">
        <v>3.28</v>
      </c>
      <c r="R23" s="12">
        <v>3.36</v>
      </c>
      <c r="S23" s="12">
        <v>3.32</v>
      </c>
      <c r="T23" s="12">
        <v>3.26</v>
      </c>
      <c r="U23" s="79">
        <v>3.34</v>
      </c>
      <c r="V23" s="79">
        <v>3.31</v>
      </c>
      <c r="X23" s="322"/>
      <c r="Y23" s="177"/>
      <c r="Z23" s="8">
        <v>3</v>
      </c>
      <c r="AA23" s="330"/>
      <c r="AB23" s="130"/>
      <c r="AC23" s="130"/>
      <c r="AD23" s="130"/>
      <c r="AE23" s="130"/>
      <c r="AF23" s="130"/>
      <c r="AG23" s="132"/>
      <c r="AH23" s="132"/>
      <c r="AI23" s="132"/>
    </row>
    <row r="24" spans="1:35" x14ac:dyDescent="0.25">
      <c r="A24" s="327"/>
      <c r="B24" s="177"/>
      <c r="C24" s="322"/>
      <c r="D24" s="12" t="s">
        <v>594</v>
      </c>
      <c r="E24" s="12">
        <f>AVERAGE(E20:E23)</f>
        <v>3.3</v>
      </c>
      <c r="F24" s="12">
        <f t="shared" ref="F24:V24" si="6">AVERAGE(F20:F23)</f>
        <v>3.3899999999999997</v>
      </c>
      <c r="G24" s="12">
        <f t="shared" si="6"/>
        <v>3.3474999999999997</v>
      </c>
      <c r="H24" s="12">
        <f t="shared" si="6"/>
        <v>3.3</v>
      </c>
      <c r="I24" s="12">
        <f t="shared" si="6"/>
        <v>3.3875000000000002</v>
      </c>
      <c r="J24" s="12">
        <f t="shared" si="6"/>
        <v>3.3474999999999997</v>
      </c>
      <c r="K24" s="12">
        <f t="shared" si="6"/>
        <v>3.2824999999999998</v>
      </c>
      <c r="L24" s="12">
        <f t="shared" si="6"/>
        <v>3.3825000000000003</v>
      </c>
      <c r="M24" s="12">
        <f t="shared" si="6"/>
        <v>3.335</v>
      </c>
      <c r="N24" s="12">
        <f t="shared" si="6"/>
        <v>3.28</v>
      </c>
      <c r="O24" s="12">
        <f t="shared" si="6"/>
        <v>3.36</v>
      </c>
      <c r="P24" s="12">
        <f t="shared" si="6"/>
        <v>3.3325</v>
      </c>
      <c r="Q24" s="12">
        <f t="shared" si="6"/>
        <v>3.2649999999999997</v>
      </c>
      <c r="R24" s="12">
        <f t="shared" si="6"/>
        <v>3.3499999999999996</v>
      </c>
      <c r="S24" s="12">
        <f t="shared" si="6"/>
        <v>3.3149999999999999</v>
      </c>
      <c r="T24" s="12">
        <f t="shared" si="6"/>
        <v>3.2549999999999999</v>
      </c>
      <c r="U24" s="12">
        <f t="shared" si="6"/>
        <v>3.335</v>
      </c>
      <c r="V24" s="12">
        <f t="shared" si="6"/>
        <v>3.3050000000000002</v>
      </c>
      <c r="X24" s="322"/>
      <c r="Y24" s="177"/>
      <c r="Z24" s="8">
        <v>4</v>
      </c>
      <c r="AA24" s="330"/>
      <c r="AB24" s="130"/>
      <c r="AC24" s="130"/>
      <c r="AD24" s="130"/>
      <c r="AE24" s="130"/>
      <c r="AF24" s="130"/>
      <c r="AG24" s="132"/>
      <c r="AH24" s="132"/>
      <c r="AI24" s="132"/>
    </row>
    <row r="25" spans="1:35" x14ac:dyDescent="0.25">
      <c r="A25" s="327"/>
      <c r="B25" s="177"/>
      <c r="C25" s="322"/>
      <c r="D25" s="12" t="s">
        <v>592</v>
      </c>
      <c r="E25" s="12">
        <f>MAX(E20:E23)</f>
        <v>3.3</v>
      </c>
      <c r="F25" s="12">
        <f t="shared" ref="F25:V25" si="7">MAX(F20:F23)</f>
        <v>3.4</v>
      </c>
      <c r="G25" s="12">
        <f t="shared" si="7"/>
        <v>3.36</v>
      </c>
      <c r="H25" s="12">
        <f t="shared" si="7"/>
        <v>3.3</v>
      </c>
      <c r="I25" s="12">
        <f t="shared" si="7"/>
        <v>3.4</v>
      </c>
      <c r="J25" s="12">
        <f t="shared" si="7"/>
        <v>3.36</v>
      </c>
      <c r="K25" s="12">
        <f t="shared" si="7"/>
        <v>3.29</v>
      </c>
      <c r="L25" s="12">
        <f t="shared" si="7"/>
        <v>3.39</v>
      </c>
      <c r="M25" s="12">
        <f t="shared" si="7"/>
        <v>3.34</v>
      </c>
      <c r="N25" s="12">
        <f t="shared" si="7"/>
        <v>3.28</v>
      </c>
      <c r="O25" s="12">
        <f t="shared" si="7"/>
        <v>3.36</v>
      </c>
      <c r="P25" s="12">
        <f t="shared" si="7"/>
        <v>3.34</v>
      </c>
      <c r="Q25" s="12">
        <f t="shared" si="7"/>
        <v>3.28</v>
      </c>
      <c r="R25" s="12">
        <f t="shared" si="7"/>
        <v>3.36</v>
      </c>
      <c r="S25" s="12">
        <f t="shared" si="7"/>
        <v>3.32</v>
      </c>
      <c r="T25" s="12">
        <f t="shared" si="7"/>
        <v>3.26</v>
      </c>
      <c r="U25" s="12">
        <f t="shared" si="7"/>
        <v>3.34</v>
      </c>
      <c r="V25" s="12">
        <f t="shared" si="7"/>
        <v>3.31</v>
      </c>
      <c r="X25" s="322"/>
      <c r="Y25" s="177"/>
      <c r="Z25" s="8" t="s">
        <v>594</v>
      </c>
      <c r="AA25" s="330"/>
      <c r="AB25" s="130"/>
      <c r="AC25" s="130"/>
      <c r="AD25" s="130"/>
      <c r="AE25" s="130"/>
      <c r="AF25" s="130"/>
      <c r="AG25" s="132"/>
      <c r="AH25" s="132"/>
      <c r="AI25" s="132"/>
    </row>
    <row r="26" spans="1:35" x14ac:dyDescent="0.25">
      <c r="A26" s="327"/>
      <c r="B26" s="177"/>
      <c r="C26" s="323"/>
      <c r="D26" s="12" t="s">
        <v>593</v>
      </c>
      <c r="E26" s="12">
        <f>MIN(E20:E23)</f>
        <v>3.3</v>
      </c>
      <c r="F26" s="12">
        <f t="shared" ref="F26:V26" si="8">MIN(F20:F23)</f>
        <v>3.38</v>
      </c>
      <c r="G26" s="12">
        <f t="shared" si="8"/>
        <v>3.34</v>
      </c>
      <c r="H26" s="12">
        <f t="shared" si="8"/>
        <v>3.3</v>
      </c>
      <c r="I26" s="12">
        <f t="shared" si="8"/>
        <v>3.38</v>
      </c>
      <c r="J26" s="12">
        <f t="shared" si="8"/>
        <v>3.34</v>
      </c>
      <c r="K26" s="12">
        <f t="shared" si="8"/>
        <v>3.28</v>
      </c>
      <c r="L26" s="12">
        <f t="shared" si="8"/>
        <v>3.38</v>
      </c>
      <c r="M26" s="12">
        <f t="shared" si="8"/>
        <v>3.33</v>
      </c>
      <c r="N26" s="12">
        <f t="shared" si="8"/>
        <v>3.28</v>
      </c>
      <c r="O26" s="12">
        <f t="shared" si="8"/>
        <v>3.36</v>
      </c>
      <c r="P26" s="12">
        <f t="shared" si="8"/>
        <v>3.33</v>
      </c>
      <c r="Q26" s="12">
        <f t="shared" si="8"/>
        <v>3.24</v>
      </c>
      <c r="R26" s="12">
        <f t="shared" si="8"/>
        <v>3.34</v>
      </c>
      <c r="S26" s="12">
        <f t="shared" si="8"/>
        <v>3.31</v>
      </c>
      <c r="T26" s="12">
        <f t="shared" si="8"/>
        <v>3.24</v>
      </c>
      <c r="U26" s="12">
        <f t="shared" si="8"/>
        <v>3.32</v>
      </c>
      <c r="V26" s="12">
        <f t="shared" si="8"/>
        <v>3.3</v>
      </c>
      <c r="X26" s="322"/>
      <c r="Y26" s="177"/>
      <c r="Z26" s="8" t="s">
        <v>592</v>
      </c>
      <c r="AA26" s="330"/>
      <c r="AB26" s="130"/>
      <c r="AC26" s="130"/>
      <c r="AD26" s="130"/>
      <c r="AE26" s="130"/>
      <c r="AF26" s="130"/>
      <c r="AG26" s="132"/>
      <c r="AH26" s="132"/>
      <c r="AI26" s="132"/>
    </row>
    <row r="27" spans="1:35" x14ac:dyDescent="0.25">
      <c r="A27" s="126"/>
      <c r="B27" s="126"/>
      <c r="C27" s="126"/>
      <c r="D27" s="126"/>
      <c r="E27" s="126"/>
      <c r="F27" s="127"/>
      <c r="G27" s="127"/>
      <c r="H27" s="127"/>
      <c r="I27" s="127"/>
      <c r="J27" s="127"/>
      <c r="K27" s="127"/>
      <c r="L27" s="127"/>
      <c r="M27" s="127"/>
      <c r="N27" s="127"/>
      <c r="O27" s="127"/>
      <c r="P27" s="127"/>
      <c r="Q27" s="127"/>
      <c r="R27" s="127"/>
      <c r="S27" s="127"/>
      <c r="T27" s="127"/>
      <c r="U27" s="128"/>
      <c r="V27" s="128"/>
      <c r="X27" s="323"/>
      <c r="Y27" s="177"/>
      <c r="Z27" s="8" t="s">
        <v>593</v>
      </c>
      <c r="AA27" s="331"/>
      <c r="AB27" s="130"/>
      <c r="AC27" s="130"/>
      <c r="AD27" s="130"/>
      <c r="AE27" s="130"/>
      <c r="AF27" s="130"/>
      <c r="AG27" s="132"/>
      <c r="AH27" s="132"/>
      <c r="AI27" s="132"/>
    </row>
    <row r="28" spans="1:35" s="25" customFormat="1" ht="24.75" customHeight="1" x14ac:dyDescent="0.25">
      <c r="A28" s="177" t="s">
        <v>602</v>
      </c>
      <c r="B28" s="177"/>
      <c r="C28" s="177"/>
      <c r="D28" s="177"/>
      <c r="E28" s="177"/>
      <c r="F28" s="177"/>
      <c r="G28" s="177"/>
      <c r="H28" s="177"/>
      <c r="I28" s="177"/>
      <c r="J28" s="177"/>
      <c r="K28" s="177"/>
      <c r="L28" s="177"/>
      <c r="M28" s="177"/>
      <c r="N28" s="177"/>
      <c r="O28" s="177"/>
      <c r="P28" s="177"/>
      <c r="Q28" s="177"/>
      <c r="R28" s="177"/>
      <c r="S28" s="177"/>
      <c r="T28" s="177"/>
      <c r="U28" s="177"/>
      <c r="V28" s="177"/>
      <c r="AA28" s="135"/>
      <c r="AB28" s="135"/>
      <c r="AC28" s="135"/>
      <c r="AD28" s="135"/>
      <c r="AE28" s="135"/>
      <c r="AF28" s="135"/>
    </row>
    <row r="29" spans="1:35" ht="27.75" customHeight="1" x14ac:dyDescent="0.25">
      <c r="A29" s="339" t="s">
        <v>590</v>
      </c>
      <c r="B29" s="336" t="s">
        <v>591</v>
      </c>
      <c r="C29" s="336" t="s">
        <v>595</v>
      </c>
      <c r="D29" s="339" t="s">
        <v>119</v>
      </c>
      <c r="E29" s="318" t="s">
        <v>596</v>
      </c>
      <c r="F29" s="319"/>
      <c r="G29" s="319"/>
      <c r="H29" s="319"/>
      <c r="I29" s="319"/>
      <c r="J29" s="319"/>
      <c r="K29" s="319"/>
      <c r="L29" s="319"/>
      <c r="M29" s="319"/>
      <c r="N29" s="319"/>
      <c r="O29" s="319"/>
      <c r="P29" s="319"/>
      <c r="Q29" s="319"/>
      <c r="R29" s="319"/>
      <c r="S29" s="319"/>
      <c r="T29" s="319"/>
      <c r="U29" s="319"/>
      <c r="V29" s="320"/>
    </row>
    <row r="30" spans="1:35" ht="27.75" customHeight="1" x14ac:dyDescent="0.25">
      <c r="A30" s="340"/>
      <c r="B30" s="337"/>
      <c r="C30" s="337"/>
      <c r="D30" s="340"/>
      <c r="E30" s="318" t="s">
        <v>597</v>
      </c>
      <c r="F30" s="319"/>
      <c r="G30" s="320"/>
      <c r="H30" s="318" t="s">
        <v>598</v>
      </c>
      <c r="I30" s="319"/>
      <c r="J30" s="320"/>
      <c r="K30" s="318" t="s">
        <v>616</v>
      </c>
      <c r="L30" s="319"/>
      <c r="M30" s="320"/>
      <c r="N30" s="318">
        <v>200</v>
      </c>
      <c r="O30" s="319"/>
      <c r="P30" s="320"/>
      <c r="Q30" s="318">
        <v>300</v>
      </c>
      <c r="R30" s="319"/>
      <c r="S30" s="320"/>
      <c r="T30" s="288" t="s">
        <v>600</v>
      </c>
      <c r="U30" s="289"/>
      <c r="V30" s="290"/>
    </row>
    <row r="31" spans="1:35" ht="27.75" customHeight="1" x14ac:dyDescent="0.25">
      <c r="A31" s="341"/>
      <c r="B31" s="338"/>
      <c r="C31" s="338"/>
      <c r="D31" s="341"/>
      <c r="E31" s="8" t="s">
        <v>613</v>
      </c>
      <c r="F31" s="10" t="s">
        <v>614</v>
      </c>
      <c r="G31" s="10" t="s">
        <v>615</v>
      </c>
      <c r="H31" s="8" t="s">
        <v>613</v>
      </c>
      <c r="I31" s="10" t="s">
        <v>614</v>
      </c>
      <c r="J31" s="10" t="s">
        <v>615</v>
      </c>
      <c r="K31" s="8" t="s">
        <v>613</v>
      </c>
      <c r="L31" s="10" t="s">
        <v>614</v>
      </c>
      <c r="M31" s="10" t="s">
        <v>615</v>
      </c>
      <c r="N31" s="8" t="s">
        <v>613</v>
      </c>
      <c r="O31" s="10" t="s">
        <v>614</v>
      </c>
      <c r="P31" s="10" t="s">
        <v>615</v>
      </c>
      <c r="Q31" s="8" t="s">
        <v>613</v>
      </c>
      <c r="R31" s="10" t="s">
        <v>614</v>
      </c>
      <c r="S31" s="10" t="s">
        <v>615</v>
      </c>
      <c r="T31" s="8" t="s">
        <v>613</v>
      </c>
      <c r="U31" s="10" t="s">
        <v>614</v>
      </c>
      <c r="V31" s="10" t="s">
        <v>615</v>
      </c>
    </row>
    <row r="32" spans="1:35" x14ac:dyDescent="0.25">
      <c r="A32" s="327">
        <v>1</v>
      </c>
      <c r="B32" s="177">
        <v>4</v>
      </c>
      <c r="C32" s="321">
        <v>150</v>
      </c>
      <c r="D32" s="12">
        <v>1</v>
      </c>
      <c r="E32" s="12">
        <v>5.0599999999999996</v>
      </c>
      <c r="F32" s="12">
        <v>5.0999999999999996</v>
      </c>
      <c r="G32" s="12">
        <v>5.07</v>
      </c>
      <c r="H32" s="12">
        <v>4.9800000000000004</v>
      </c>
      <c r="I32" s="12">
        <v>5.0599999999999996</v>
      </c>
      <c r="J32" s="12">
        <v>5.0199999999999996</v>
      </c>
      <c r="K32" s="12">
        <v>5.04</v>
      </c>
      <c r="L32" s="12">
        <v>5.14</v>
      </c>
      <c r="M32" s="12">
        <v>5.0599999999999996</v>
      </c>
      <c r="N32" s="12">
        <v>5.12</v>
      </c>
      <c r="O32" s="12">
        <v>5.24</v>
      </c>
      <c r="P32" s="12">
        <v>5.16</v>
      </c>
      <c r="Q32" s="12">
        <v>5.2</v>
      </c>
      <c r="R32" s="12">
        <v>5.3</v>
      </c>
      <c r="S32" s="12">
        <v>5.24</v>
      </c>
      <c r="T32" s="12">
        <v>5.18</v>
      </c>
      <c r="U32" s="79">
        <v>5.3</v>
      </c>
      <c r="V32" s="79">
        <v>5.23</v>
      </c>
    </row>
    <row r="33" spans="1:23" x14ac:dyDescent="0.25">
      <c r="A33" s="327"/>
      <c r="B33" s="177"/>
      <c r="C33" s="322"/>
      <c r="D33" s="12">
        <v>2</v>
      </c>
      <c r="E33" s="12">
        <v>5.18</v>
      </c>
      <c r="F33" s="12">
        <v>5.24</v>
      </c>
      <c r="G33" s="12">
        <v>5.2</v>
      </c>
      <c r="H33" s="12">
        <v>5.0999999999999996</v>
      </c>
      <c r="I33" s="12">
        <v>5.18</v>
      </c>
      <c r="J33" s="12">
        <v>5.13</v>
      </c>
      <c r="K33" s="12">
        <v>5.14</v>
      </c>
      <c r="L33" s="12">
        <v>5.22</v>
      </c>
      <c r="M33" s="12">
        <v>5.17</v>
      </c>
      <c r="N33" s="12">
        <v>5.24</v>
      </c>
      <c r="O33" s="12">
        <v>5.34</v>
      </c>
      <c r="P33" s="12">
        <v>5.27</v>
      </c>
      <c r="Q33" s="12">
        <v>5.3</v>
      </c>
      <c r="R33" s="12">
        <v>5.42</v>
      </c>
      <c r="S33" s="12">
        <v>5.34</v>
      </c>
      <c r="T33" s="12">
        <v>5.3</v>
      </c>
      <c r="U33" s="79">
        <v>5.42</v>
      </c>
      <c r="V33" s="79">
        <v>5.34</v>
      </c>
    </row>
    <row r="34" spans="1:23" x14ac:dyDescent="0.25">
      <c r="A34" s="327"/>
      <c r="B34" s="177"/>
      <c r="C34" s="322"/>
      <c r="D34" s="12">
        <v>3</v>
      </c>
      <c r="E34" s="12">
        <v>5.18</v>
      </c>
      <c r="F34" s="12">
        <v>5.24</v>
      </c>
      <c r="G34" s="12">
        <v>5.21</v>
      </c>
      <c r="H34" s="12">
        <v>5.0999999999999996</v>
      </c>
      <c r="I34" s="12">
        <v>5.18</v>
      </c>
      <c r="J34" s="12">
        <v>5.13</v>
      </c>
      <c r="K34" s="12">
        <v>5.14</v>
      </c>
      <c r="L34" s="12">
        <v>5.24</v>
      </c>
      <c r="M34" s="12">
        <v>5.17</v>
      </c>
      <c r="N34" s="12">
        <v>5.24</v>
      </c>
      <c r="O34" s="12">
        <v>5.34</v>
      </c>
      <c r="P34" s="12">
        <v>5.27</v>
      </c>
      <c r="Q34" s="12">
        <v>5.28</v>
      </c>
      <c r="R34" s="12">
        <v>5.38</v>
      </c>
      <c r="S34" s="12">
        <v>5.32</v>
      </c>
      <c r="T34" s="12">
        <v>5.3</v>
      </c>
      <c r="U34" s="79">
        <v>5.42</v>
      </c>
      <c r="V34" s="79">
        <v>5.34</v>
      </c>
    </row>
    <row r="35" spans="1:23" x14ac:dyDescent="0.25">
      <c r="A35" s="327"/>
      <c r="B35" s="177"/>
      <c r="C35" s="322"/>
      <c r="D35" s="12">
        <v>4</v>
      </c>
      <c r="E35" s="12">
        <v>5.16</v>
      </c>
      <c r="F35" s="12">
        <v>5.24</v>
      </c>
      <c r="G35" s="12">
        <v>5.2</v>
      </c>
      <c r="H35" s="12">
        <v>5.0999999999999996</v>
      </c>
      <c r="I35" s="12">
        <v>5.18</v>
      </c>
      <c r="J35" s="12">
        <v>5.13</v>
      </c>
      <c r="K35" s="12">
        <v>5.12</v>
      </c>
      <c r="L35" s="12">
        <v>5.24</v>
      </c>
      <c r="M35" s="12">
        <v>5.16</v>
      </c>
      <c r="N35" s="12">
        <v>5.2</v>
      </c>
      <c r="O35" s="12">
        <v>5.32</v>
      </c>
      <c r="P35" s="12">
        <v>5.25</v>
      </c>
      <c r="Q35" s="12">
        <v>5.24</v>
      </c>
      <c r="R35" s="12">
        <v>5.38</v>
      </c>
      <c r="S35" s="12">
        <v>5.3</v>
      </c>
      <c r="T35" s="12">
        <v>5.26</v>
      </c>
      <c r="U35" s="79">
        <v>5.4</v>
      </c>
      <c r="V35" s="79">
        <v>5.33</v>
      </c>
    </row>
    <row r="36" spans="1:23" x14ac:dyDescent="0.25">
      <c r="A36" s="327"/>
      <c r="B36" s="177"/>
      <c r="C36" s="322"/>
      <c r="D36" s="12" t="s">
        <v>594</v>
      </c>
      <c r="E36" s="12">
        <f>AVERAGE(E32:E35)</f>
        <v>5.1449999999999996</v>
      </c>
      <c r="F36" s="12">
        <f t="shared" ref="F36:V36" si="9">AVERAGE(F32:F35)</f>
        <v>5.2050000000000001</v>
      </c>
      <c r="G36" s="12">
        <f t="shared" si="9"/>
        <v>5.17</v>
      </c>
      <c r="H36" s="12">
        <f t="shared" si="9"/>
        <v>5.07</v>
      </c>
      <c r="I36" s="12">
        <f t="shared" si="9"/>
        <v>5.1499999999999995</v>
      </c>
      <c r="J36" s="12">
        <f t="shared" si="9"/>
        <v>5.1024999999999991</v>
      </c>
      <c r="K36" s="12">
        <f t="shared" si="9"/>
        <v>5.1100000000000003</v>
      </c>
      <c r="L36" s="12">
        <f t="shared" si="9"/>
        <v>5.21</v>
      </c>
      <c r="M36" s="12">
        <f t="shared" si="9"/>
        <v>5.1400000000000006</v>
      </c>
      <c r="N36" s="12">
        <f t="shared" si="9"/>
        <v>5.2</v>
      </c>
      <c r="O36" s="12">
        <f t="shared" si="9"/>
        <v>5.3100000000000005</v>
      </c>
      <c r="P36" s="12">
        <f t="shared" si="9"/>
        <v>5.2374999999999998</v>
      </c>
      <c r="Q36" s="12">
        <f t="shared" si="9"/>
        <v>5.2550000000000008</v>
      </c>
      <c r="R36" s="12">
        <f t="shared" si="9"/>
        <v>5.3699999999999992</v>
      </c>
      <c r="S36" s="12">
        <f t="shared" si="9"/>
        <v>5.3</v>
      </c>
      <c r="T36" s="12">
        <f t="shared" si="9"/>
        <v>5.26</v>
      </c>
      <c r="U36" s="12">
        <f t="shared" si="9"/>
        <v>5.3849999999999998</v>
      </c>
      <c r="V36" s="12">
        <f t="shared" si="9"/>
        <v>5.3100000000000005</v>
      </c>
      <c r="W36" s="131"/>
    </row>
    <row r="37" spans="1:23" x14ac:dyDescent="0.25">
      <c r="A37" s="327"/>
      <c r="B37" s="177"/>
      <c r="C37" s="322"/>
      <c r="D37" s="12" t="s">
        <v>592</v>
      </c>
      <c r="E37" s="12">
        <f>MAX(E32:E35)</f>
        <v>5.18</v>
      </c>
      <c r="F37" s="12">
        <f t="shared" ref="F37:V37" si="10">MAX(F32:F35)</f>
        <v>5.24</v>
      </c>
      <c r="G37" s="12">
        <f t="shared" si="10"/>
        <v>5.21</v>
      </c>
      <c r="H37" s="12">
        <f t="shared" si="10"/>
        <v>5.0999999999999996</v>
      </c>
      <c r="I37" s="12">
        <f t="shared" si="10"/>
        <v>5.18</v>
      </c>
      <c r="J37" s="12">
        <f t="shared" si="10"/>
        <v>5.13</v>
      </c>
      <c r="K37" s="12">
        <f t="shared" si="10"/>
        <v>5.14</v>
      </c>
      <c r="L37" s="12">
        <f t="shared" si="10"/>
        <v>5.24</v>
      </c>
      <c r="M37" s="12">
        <f t="shared" si="10"/>
        <v>5.17</v>
      </c>
      <c r="N37" s="12">
        <f t="shared" si="10"/>
        <v>5.24</v>
      </c>
      <c r="O37" s="12">
        <f t="shared" si="10"/>
        <v>5.34</v>
      </c>
      <c r="P37" s="12">
        <f t="shared" si="10"/>
        <v>5.27</v>
      </c>
      <c r="Q37" s="12">
        <f t="shared" si="10"/>
        <v>5.3</v>
      </c>
      <c r="R37" s="12">
        <f t="shared" si="10"/>
        <v>5.42</v>
      </c>
      <c r="S37" s="12">
        <f t="shared" si="10"/>
        <v>5.34</v>
      </c>
      <c r="T37" s="12">
        <f t="shared" si="10"/>
        <v>5.3</v>
      </c>
      <c r="U37" s="12">
        <f t="shared" si="10"/>
        <v>5.42</v>
      </c>
      <c r="V37" s="12">
        <f t="shared" si="10"/>
        <v>5.34</v>
      </c>
    </row>
    <row r="38" spans="1:23" x14ac:dyDescent="0.25">
      <c r="A38" s="327"/>
      <c r="B38" s="177"/>
      <c r="C38" s="323"/>
      <c r="D38" s="12" t="s">
        <v>593</v>
      </c>
      <c r="E38" s="12">
        <f>MIN(E32:E35)</f>
        <v>5.0599999999999996</v>
      </c>
      <c r="F38" s="12">
        <f t="shared" ref="F38:V38" si="11">MIN(F32:F35)</f>
        <v>5.0999999999999996</v>
      </c>
      <c r="G38" s="12">
        <f t="shared" si="11"/>
        <v>5.07</v>
      </c>
      <c r="H38" s="12">
        <f t="shared" si="11"/>
        <v>4.9800000000000004</v>
      </c>
      <c r="I38" s="12">
        <f t="shared" si="11"/>
        <v>5.0599999999999996</v>
      </c>
      <c r="J38" s="12">
        <f t="shared" si="11"/>
        <v>5.0199999999999996</v>
      </c>
      <c r="K38" s="12">
        <f t="shared" si="11"/>
        <v>5.04</v>
      </c>
      <c r="L38" s="12">
        <f t="shared" si="11"/>
        <v>5.14</v>
      </c>
      <c r="M38" s="12">
        <f t="shared" si="11"/>
        <v>5.0599999999999996</v>
      </c>
      <c r="N38" s="12">
        <f t="shared" si="11"/>
        <v>5.12</v>
      </c>
      <c r="O38" s="12">
        <f t="shared" si="11"/>
        <v>5.24</v>
      </c>
      <c r="P38" s="12">
        <f t="shared" si="11"/>
        <v>5.16</v>
      </c>
      <c r="Q38" s="12">
        <f t="shared" si="11"/>
        <v>5.2</v>
      </c>
      <c r="R38" s="12">
        <f t="shared" si="11"/>
        <v>5.3</v>
      </c>
      <c r="S38" s="12">
        <f t="shared" si="11"/>
        <v>5.24</v>
      </c>
      <c r="T38" s="12">
        <f t="shared" si="11"/>
        <v>5.18</v>
      </c>
      <c r="U38" s="12">
        <f t="shared" si="11"/>
        <v>5.3</v>
      </c>
      <c r="V38" s="12">
        <f t="shared" si="11"/>
        <v>5.23</v>
      </c>
    </row>
    <row r="39" spans="1:23" x14ac:dyDescent="0.25">
      <c r="A39" s="328">
        <v>2</v>
      </c>
      <c r="B39" s="177"/>
      <c r="C39" s="324">
        <v>220</v>
      </c>
      <c r="D39" s="13">
        <v>1</v>
      </c>
      <c r="E39" s="13">
        <v>5.04</v>
      </c>
      <c r="F39" s="13">
        <v>5.0599999999999996</v>
      </c>
      <c r="G39" s="13">
        <v>5.0599999999999996</v>
      </c>
      <c r="H39" s="13">
        <v>4.96</v>
      </c>
      <c r="I39" s="13">
        <v>5.04</v>
      </c>
      <c r="J39" s="13">
        <v>5</v>
      </c>
      <c r="K39" s="13">
        <v>5</v>
      </c>
      <c r="L39" s="13">
        <v>5.0999999999999996</v>
      </c>
      <c r="M39" s="13">
        <v>5.04</v>
      </c>
      <c r="N39" s="13">
        <v>5.0999999999999996</v>
      </c>
      <c r="O39" s="13">
        <v>5.22</v>
      </c>
      <c r="P39" s="13">
        <v>5.14</v>
      </c>
      <c r="Q39" s="13">
        <v>5.16</v>
      </c>
      <c r="R39" s="13">
        <v>5.3</v>
      </c>
      <c r="S39" s="13">
        <v>5.21</v>
      </c>
      <c r="T39" s="13">
        <v>5.18</v>
      </c>
      <c r="U39" s="17">
        <v>5.3</v>
      </c>
      <c r="V39" s="17">
        <v>5.23</v>
      </c>
    </row>
    <row r="40" spans="1:23" x14ac:dyDescent="0.25">
      <c r="A40" s="328"/>
      <c r="B40" s="177"/>
      <c r="C40" s="325"/>
      <c r="D40" s="13">
        <v>2</v>
      </c>
      <c r="E40" s="13">
        <v>5.16</v>
      </c>
      <c r="F40" s="13">
        <v>5.22</v>
      </c>
      <c r="G40" s="13">
        <v>5.19</v>
      </c>
      <c r="H40" s="13">
        <v>5.08</v>
      </c>
      <c r="I40" s="13">
        <v>5.16</v>
      </c>
      <c r="J40" s="13">
        <v>5.1100000000000003</v>
      </c>
      <c r="K40" s="13">
        <v>5.12</v>
      </c>
      <c r="L40" s="13">
        <v>5.2</v>
      </c>
      <c r="M40" s="13">
        <v>5.15</v>
      </c>
      <c r="N40" s="13">
        <v>5.2</v>
      </c>
      <c r="O40" s="13">
        <v>5.32</v>
      </c>
      <c r="P40" s="13">
        <v>5.24</v>
      </c>
      <c r="Q40" s="13">
        <v>5.28</v>
      </c>
      <c r="R40" s="13">
        <v>5.4</v>
      </c>
      <c r="S40" s="13">
        <v>5.32</v>
      </c>
      <c r="T40" s="13">
        <v>5.28</v>
      </c>
      <c r="U40" s="17">
        <v>5.4</v>
      </c>
      <c r="V40" s="17">
        <v>5.33</v>
      </c>
    </row>
    <row r="41" spans="1:23" x14ac:dyDescent="0.25">
      <c r="A41" s="328"/>
      <c r="B41" s="177"/>
      <c r="C41" s="325"/>
      <c r="D41" s="13">
        <v>3</v>
      </c>
      <c r="E41" s="13">
        <v>5.14</v>
      </c>
      <c r="F41" s="13">
        <v>5.22</v>
      </c>
      <c r="G41" s="13">
        <v>5.18</v>
      </c>
      <c r="H41" s="13">
        <v>5.08</v>
      </c>
      <c r="I41" s="13">
        <v>5.16</v>
      </c>
      <c r="J41" s="13">
        <v>5.0999999999999996</v>
      </c>
      <c r="K41" s="13">
        <v>5.12</v>
      </c>
      <c r="L41" s="13">
        <v>5.2</v>
      </c>
      <c r="M41" s="13">
        <v>5.15</v>
      </c>
      <c r="N41" s="13">
        <v>5.22</v>
      </c>
      <c r="O41" s="13">
        <v>5.32</v>
      </c>
      <c r="P41" s="13">
        <v>5.25</v>
      </c>
      <c r="Q41" s="13">
        <v>5.28</v>
      </c>
      <c r="R41" s="13">
        <v>5.38</v>
      </c>
      <c r="S41" s="13">
        <v>5.32</v>
      </c>
      <c r="T41" s="13">
        <v>5.28</v>
      </c>
      <c r="U41" s="17">
        <v>5.4</v>
      </c>
      <c r="V41" s="17">
        <v>5.33</v>
      </c>
    </row>
    <row r="42" spans="1:23" x14ac:dyDescent="0.25">
      <c r="A42" s="328"/>
      <c r="B42" s="177"/>
      <c r="C42" s="325"/>
      <c r="D42" s="13">
        <v>4</v>
      </c>
      <c r="E42" s="13">
        <v>5.14</v>
      </c>
      <c r="F42" s="13">
        <v>5.2</v>
      </c>
      <c r="G42" s="13">
        <v>5.18</v>
      </c>
      <c r="H42" s="13">
        <v>5.08</v>
      </c>
      <c r="I42" s="13">
        <v>5.14</v>
      </c>
      <c r="J42" s="13">
        <v>5.0999999999999996</v>
      </c>
      <c r="K42" s="13">
        <v>5.0999999999999996</v>
      </c>
      <c r="L42" s="13">
        <v>5.2</v>
      </c>
      <c r="M42" s="13">
        <v>5.14</v>
      </c>
      <c r="N42" s="13">
        <v>5.18</v>
      </c>
      <c r="O42" s="13">
        <v>5.32</v>
      </c>
      <c r="P42" s="13">
        <v>5.22</v>
      </c>
      <c r="Q42" s="13">
        <v>5.22</v>
      </c>
      <c r="R42" s="13">
        <v>5.36</v>
      </c>
      <c r="S42" s="13">
        <v>5.28</v>
      </c>
      <c r="T42" s="13">
        <v>5.26</v>
      </c>
      <c r="U42" s="17">
        <v>5.4</v>
      </c>
      <c r="V42" s="17">
        <v>5.3</v>
      </c>
    </row>
    <row r="43" spans="1:23" x14ac:dyDescent="0.25">
      <c r="A43" s="328"/>
      <c r="B43" s="177"/>
      <c r="C43" s="325"/>
      <c r="D43" s="13" t="s">
        <v>594</v>
      </c>
      <c r="E43" s="13">
        <f>AVERAGE(E39:E42)</f>
        <v>5.12</v>
      </c>
      <c r="F43" s="13">
        <f t="shared" ref="F43" si="12">AVERAGE(F39:F42)</f>
        <v>5.1749999999999998</v>
      </c>
      <c r="G43" s="13">
        <f t="shared" ref="G43" si="13">AVERAGE(G39:G42)</f>
        <v>5.1524999999999999</v>
      </c>
      <c r="H43" s="13">
        <f t="shared" ref="H43" si="14">AVERAGE(H39:H42)</f>
        <v>5.05</v>
      </c>
      <c r="I43" s="13">
        <f t="shared" ref="I43" si="15">AVERAGE(I39:I42)</f>
        <v>5.125</v>
      </c>
      <c r="J43" s="13">
        <f t="shared" ref="J43" si="16">AVERAGE(J39:J42)</f>
        <v>5.0774999999999997</v>
      </c>
      <c r="K43" s="13">
        <f t="shared" ref="K43" si="17">AVERAGE(K39:K42)</f>
        <v>5.0850000000000009</v>
      </c>
      <c r="L43" s="13">
        <f t="shared" ref="L43" si="18">AVERAGE(L39:L42)</f>
        <v>5.1749999999999998</v>
      </c>
      <c r="M43" s="13">
        <f t="shared" ref="M43" si="19">AVERAGE(M39:M42)</f>
        <v>5.12</v>
      </c>
      <c r="N43" s="13">
        <f t="shared" ref="N43" si="20">AVERAGE(N39:N42)</f>
        <v>5.1749999999999998</v>
      </c>
      <c r="O43" s="13">
        <f t="shared" ref="O43" si="21">AVERAGE(O39:O42)</f>
        <v>5.2949999999999999</v>
      </c>
      <c r="P43" s="13">
        <f t="shared" ref="P43" si="22">AVERAGE(P39:P42)</f>
        <v>5.2124999999999995</v>
      </c>
      <c r="Q43" s="13">
        <f t="shared" ref="Q43" si="23">AVERAGE(Q39:Q42)</f>
        <v>5.2350000000000003</v>
      </c>
      <c r="R43" s="13">
        <f t="shared" ref="R43" si="24">AVERAGE(R39:R42)</f>
        <v>5.3599999999999994</v>
      </c>
      <c r="S43" s="13">
        <f t="shared" ref="S43" si="25">AVERAGE(S39:S42)</f>
        <v>5.2825000000000006</v>
      </c>
      <c r="T43" s="13">
        <f t="shared" ref="T43" si="26">AVERAGE(T39:T42)</f>
        <v>5.25</v>
      </c>
      <c r="U43" s="13">
        <f t="shared" ref="U43" si="27">AVERAGE(U39:U42)</f>
        <v>5.375</v>
      </c>
      <c r="V43" s="13">
        <f t="shared" ref="V43" si="28">AVERAGE(V39:V42)</f>
        <v>5.2975000000000003</v>
      </c>
    </row>
    <row r="44" spans="1:23" x14ac:dyDescent="0.25">
      <c r="A44" s="328"/>
      <c r="B44" s="177"/>
      <c r="C44" s="325"/>
      <c r="D44" s="13" t="s">
        <v>592</v>
      </c>
      <c r="E44" s="13">
        <f>MAX(E39:E42)</f>
        <v>5.16</v>
      </c>
      <c r="F44" s="13">
        <f t="shared" ref="F44:V44" si="29">MAX(F39:F42)</f>
        <v>5.22</v>
      </c>
      <c r="G44" s="13">
        <f t="shared" si="29"/>
        <v>5.19</v>
      </c>
      <c r="H44" s="13">
        <f t="shared" si="29"/>
        <v>5.08</v>
      </c>
      <c r="I44" s="13">
        <f t="shared" si="29"/>
        <v>5.16</v>
      </c>
      <c r="J44" s="13">
        <f t="shared" si="29"/>
        <v>5.1100000000000003</v>
      </c>
      <c r="K44" s="13">
        <f t="shared" si="29"/>
        <v>5.12</v>
      </c>
      <c r="L44" s="13">
        <f t="shared" si="29"/>
        <v>5.2</v>
      </c>
      <c r="M44" s="13">
        <f t="shared" si="29"/>
        <v>5.15</v>
      </c>
      <c r="N44" s="13">
        <f t="shared" si="29"/>
        <v>5.22</v>
      </c>
      <c r="O44" s="13">
        <f t="shared" si="29"/>
        <v>5.32</v>
      </c>
      <c r="P44" s="13">
        <f t="shared" si="29"/>
        <v>5.25</v>
      </c>
      <c r="Q44" s="13">
        <f t="shared" si="29"/>
        <v>5.28</v>
      </c>
      <c r="R44" s="13">
        <f t="shared" si="29"/>
        <v>5.4</v>
      </c>
      <c r="S44" s="13">
        <f t="shared" si="29"/>
        <v>5.32</v>
      </c>
      <c r="T44" s="13">
        <f t="shared" si="29"/>
        <v>5.28</v>
      </c>
      <c r="U44" s="13">
        <f t="shared" si="29"/>
        <v>5.4</v>
      </c>
      <c r="V44" s="13">
        <f t="shared" si="29"/>
        <v>5.33</v>
      </c>
    </row>
    <row r="45" spans="1:23" x14ac:dyDescent="0.25">
      <c r="A45" s="328"/>
      <c r="B45" s="177"/>
      <c r="C45" s="326"/>
      <c r="D45" s="13" t="s">
        <v>593</v>
      </c>
      <c r="E45" s="13">
        <f>MIN(E39:E42)</f>
        <v>5.04</v>
      </c>
      <c r="F45" s="13">
        <f t="shared" ref="F45:V45" si="30">MIN(F39:F42)</f>
        <v>5.0599999999999996</v>
      </c>
      <c r="G45" s="13">
        <f t="shared" si="30"/>
        <v>5.0599999999999996</v>
      </c>
      <c r="H45" s="13">
        <f t="shared" si="30"/>
        <v>4.96</v>
      </c>
      <c r="I45" s="13">
        <f t="shared" si="30"/>
        <v>5.04</v>
      </c>
      <c r="J45" s="13">
        <f t="shared" si="30"/>
        <v>5</v>
      </c>
      <c r="K45" s="13">
        <f t="shared" si="30"/>
        <v>5</v>
      </c>
      <c r="L45" s="13">
        <f t="shared" si="30"/>
        <v>5.0999999999999996</v>
      </c>
      <c r="M45" s="13">
        <f t="shared" si="30"/>
        <v>5.04</v>
      </c>
      <c r="N45" s="13">
        <f t="shared" si="30"/>
        <v>5.0999999999999996</v>
      </c>
      <c r="O45" s="13">
        <f t="shared" si="30"/>
        <v>5.22</v>
      </c>
      <c r="P45" s="13">
        <f t="shared" si="30"/>
        <v>5.14</v>
      </c>
      <c r="Q45" s="13">
        <f t="shared" si="30"/>
        <v>5.16</v>
      </c>
      <c r="R45" s="13">
        <f t="shared" si="30"/>
        <v>5.3</v>
      </c>
      <c r="S45" s="13">
        <f t="shared" si="30"/>
        <v>5.21</v>
      </c>
      <c r="T45" s="13">
        <f t="shared" si="30"/>
        <v>5.18</v>
      </c>
      <c r="U45" s="13">
        <f t="shared" si="30"/>
        <v>5.3</v>
      </c>
      <c r="V45" s="13">
        <f t="shared" si="30"/>
        <v>5.23</v>
      </c>
    </row>
    <row r="46" spans="1:23" x14ac:dyDescent="0.25">
      <c r="A46" s="327">
        <v>3</v>
      </c>
      <c r="B46" s="177"/>
      <c r="C46" s="321">
        <v>265</v>
      </c>
      <c r="D46" s="12">
        <v>1</v>
      </c>
      <c r="E46" s="12">
        <v>5.0199999999999996</v>
      </c>
      <c r="F46" s="12">
        <v>5.0599999999999996</v>
      </c>
      <c r="G46" s="12">
        <v>5.04</v>
      </c>
      <c r="H46" s="12">
        <v>5</v>
      </c>
      <c r="I46" s="12">
        <v>5.08</v>
      </c>
      <c r="J46" s="12">
        <v>5.03</v>
      </c>
      <c r="K46" s="12">
        <v>4.9800000000000004</v>
      </c>
      <c r="L46" s="12">
        <v>5.0999999999999996</v>
      </c>
      <c r="M46" s="12">
        <v>5.0199999999999996</v>
      </c>
      <c r="N46" s="12">
        <v>5.08</v>
      </c>
      <c r="O46" s="12">
        <v>5.2</v>
      </c>
      <c r="P46" s="12">
        <v>5.12</v>
      </c>
      <c r="Q46" s="12">
        <v>5.14</v>
      </c>
      <c r="R46" s="12">
        <v>5.3</v>
      </c>
      <c r="S46" s="12">
        <v>5.19</v>
      </c>
      <c r="T46" s="12">
        <v>5.2</v>
      </c>
      <c r="U46" s="79">
        <v>5.36</v>
      </c>
      <c r="V46" s="79">
        <v>5.25</v>
      </c>
    </row>
    <row r="47" spans="1:23" x14ac:dyDescent="0.25">
      <c r="A47" s="327"/>
      <c r="B47" s="177"/>
      <c r="C47" s="322"/>
      <c r="D47" s="12">
        <v>2</v>
      </c>
      <c r="E47" s="12">
        <v>5.16</v>
      </c>
      <c r="F47" s="12">
        <v>5.2</v>
      </c>
      <c r="G47" s="12">
        <v>5.18</v>
      </c>
      <c r="H47" s="12">
        <v>5.0999999999999996</v>
      </c>
      <c r="I47" s="12">
        <v>5.18</v>
      </c>
      <c r="J47" s="12">
        <v>5.13</v>
      </c>
      <c r="K47" s="12">
        <v>5.0999999999999996</v>
      </c>
      <c r="L47" s="12">
        <v>5.18</v>
      </c>
      <c r="M47" s="12">
        <v>5.13</v>
      </c>
      <c r="N47" s="12">
        <v>5.2</v>
      </c>
      <c r="O47" s="12">
        <v>5.3</v>
      </c>
      <c r="P47" s="12">
        <v>5.23</v>
      </c>
      <c r="Q47" s="12">
        <v>5.26</v>
      </c>
      <c r="R47" s="12">
        <v>5.38</v>
      </c>
      <c r="S47" s="12">
        <v>5.29</v>
      </c>
      <c r="T47" s="12">
        <v>5.28</v>
      </c>
      <c r="U47" s="79">
        <v>5.4</v>
      </c>
      <c r="V47" s="79">
        <v>5.32</v>
      </c>
    </row>
    <row r="48" spans="1:23" x14ac:dyDescent="0.25">
      <c r="A48" s="327"/>
      <c r="B48" s="177"/>
      <c r="C48" s="322"/>
      <c r="D48" s="12">
        <v>3</v>
      </c>
      <c r="E48" s="12">
        <v>5.14</v>
      </c>
      <c r="F48" s="12">
        <v>5.2</v>
      </c>
      <c r="G48" s="12">
        <v>5.16</v>
      </c>
      <c r="H48" s="12">
        <v>5.12</v>
      </c>
      <c r="I48" s="12">
        <v>5.2</v>
      </c>
      <c r="J48" s="12">
        <v>5.14</v>
      </c>
      <c r="K48" s="12">
        <v>5.0999999999999996</v>
      </c>
      <c r="L48" s="12">
        <v>5.2</v>
      </c>
      <c r="M48" s="12">
        <v>5.13</v>
      </c>
      <c r="N48" s="12">
        <v>5.2</v>
      </c>
      <c r="O48" s="12">
        <v>5.3</v>
      </c>
      <c r="P48" s="12">
        <v>5.23</v>
      </c>
      <c r="Q48" s="12">
        <v>5.26</v>
      </c>
      <c r="R48" s="12">
        <v>5.36</v>
      </c>
      <c r="S48" s="12">
        <v>5.29</v>
      </c>
      <c r="T48" s="12">
        <v>5.28</v>
      </c>
      <c r="U48" s="79">
        <v>5.4</v>
      </c>
      <c r="V48" s="79">
        <v>5.33</v>
      </c>
    </row>
    <row r="49" spans="1:22" x14ac:dyDescent="0.25">
      <c r="A49" s="327"/>
      <c r="B49" s="177"/>
      <c r="C49" s="322"/>
      <c r="D49" s="12">
        <v>4</v>
      </c>
      <c r="E49" s="12">
        <v>5.14</v>
      </c>
      <c r="F49" s="12">
        <v>5.2</v>
      </c>
      <c r="G49" s="12">
        <v>5.16</v>
      </c>
      <c r="H49" s="12">
        <v>5.0999999999999996</v>
      </c>
      <c r="I49" s="12">
        <v>5.18</v>
      </c>
      <c r="J49" s="12">
        <v>5.13</v>
      </c>
      <c r="K49" s="12">
        <v>5.08</v>
      </c>
      <c r="L49" s="12">
        <v>5.18</v>
      </c>
      <c r="M49" s="12">
        <v>5.12</v>
      </c>
      <c r="N49" s="12">
        <v>5.14</v>
      </c>
      <c r="O49" s="12">
        <v>5.28</v>
      </c>
      <c r="P49" s="12">
        <v>5.19</v>
      </c>
      <c r="Q49" s="12">
        <v>5.22</v>
      </c>
      <c r="R49" s="12">
        <v>5.34</v>
      </c>
      <c r="S49" s="12">
        <v>5.26</v>
      </c>
      <c r="T49" s="12">
        <v>5.24</v>
      </c>
      <c r="U49" s="79">
        <v>5.38</v>
      </c>
      <c r="V49" s="79">
        <v>5.29</v>
      </c>
    </row>
    <row r="50" spans="1:22" x14ac:dyDescent="0.25">
      <c r="A50" s="327"/>
      <c r="B50" s="177"/>
      <c r="C50" s="322"/>
      <c r="D50" s="12" t="s">
        <v>594</v>
      </c>
      <c r="E50" s="12">
        <f>AVERAGE(E46:E49)</f>
        <v>5.1150000000000002</v>
      </c>
      <c r="F50" s="12">
        <f t="shared" ref="F50" si="31">AVERAGE(F46:F49)</f>
        <v>5.165</v>
      </c>
      <c r="G50" s="12">
        <f t="shared" ref="G50" si="32">AVERAGE(G46:G49)</f>
        <v>5.1349999999999998</v>
      </c>
      <c r="H50" s="12">
        <f t="shared" ref="H50" si="33">AVERAGE(H46:H49)</f>
        <v>5.08</v>
      </c>
      <c r="I50" s="12">
        <f t="shared" ref="I50" si="34">AVERAGE(I46:I49)</f>
        <v>5.16</v>
      </c>
      <c r="J50" s="12">
        <f t="shared" ref="J50" si="35">AVERAGE(J46:J49)</f>
        <v>5.1074999999999999</v>
      </c>
      <c r="K50" s="12">
        <f t="shared" ref="K50" si="36">AVERAGE(K46:K49)</f>
        <v>5.0649999999999995</v>
      </c>
      <c r="L50" s="12">
        <f t="shared" ref="L50" si="37">AVERAGE(L46:L49)</f>
        <v>5.165</v>
      </c>
      <c r="M50" s="12">
        <f t="shared" ref="M50" si="38">AVERAGE(M46:M49)</f>
        <v>5.0999999999999996</v>
      </c>
      <c r="N50" s="12">
        <f t="shared" ref="N50" si="39">AVERAGE(N46:N49)</f>
        <v>5.1550000000000002</v>
      </c>
      <c r="O50" s="12">
        <f t="shared" ref="O50" si="40">AVERAGE(O46:O49)</f>
        <v>5.2700000000000005</v>
      </c>
      <c r="P50" s="12">
        <f t="shared" ref="P50" si="41">AVERAGE(P46:P49)</f>
        <v>5.1925000000000008</v>
      </c>
      <c r="Q50" s="12">
        <f t="shared" ref="Q50" si="42">AVERAGE(Q46:Q49)</f>
        <v>5.22</v>
      </c>
      <c r="R50" s="12">
        <f t="shared" ref="R50" si="43">AVERAGE(R46:R49)</f>
        <v>5.3449999999999998</v>
      </c>
      <c r="S50" s="12">
        <f t="shared" ref="S50" si="44">AVERAGE(S46:S49)</f>
        <v>5.2575000000000003</v>
      </c>
      <c r="T50" s="12">
        <f t="shared" ref="T50" si="45">AVERAGE(T46:T49)</f>
        <v>5.25</v>
      </c>
      <c r="U50" s="12">
        <f t="shared" ref="U50" si="46">AVERAGE(U46:U49)</f>
        <v>5.3850000000000007</v>
      </c>
      <c r="V50" s="12">
        <f t="shared" ref="V50" si="47">AVERAGE(V46:V49)</f>
        <v>5.2975000000000003</v>
      </c>
    </row>
    <row r="51" spans="1:22" x14ac:dyDescent="0.25">
      <c r="A51" s="327"/>
      <c r="B51" s="177"/>
      <c r="C51" s="322"/>
      <c r="D51" s="12" t="s">
        <v>592</v>
      </c>
      <c r="E51" s="12">
        <f>MAX(E46:E49)</f>
        <v>5.16</v>
      </c>
      <c r="F51" s="12">
        <f t="shared" ref="F51:V51" si="48">MAX(F46:F49)</f>
        <v>5.2</v>
      </c>
      <c r="G51" s="12">
        <f t="shared" si="48"/>
        <v>5.18</v>
      </c>
      <c r="H51" s="12">
        <f t="shared" si="48"/>
        <v>5.12</v>
      </c>
      <c r="I51" s="12">
        <f t="shared" si="48"/>
        <v>5.2</v>
      </c>
      <c r="J51" s="12">
        <f t="shared" si="48"/>
        <v>5.14</v>
      </c>
      <c r="K51" s="12">
        <f t="shared" si="48"/>
        <v>5.0999999999999996</v>
      </c>
      <c r="L51" s="12">
        <f t="shared" si="48"/>
        <v>5.2</v>
      </c>
      <c r="M51" s="12">
        <f t="shared" si="48"/>
        <v>5.13</v>
      </c>
      <c r="N51" s="12">
        <f t="shared" si="48"/>
        <v>5.2</v>
      </c>
      <c r="O51" s="12">
        <f t="shared" si="48"/>
        <v>5.3</v>
      </c>
      <c r="P51" s="12">
        <f t="shared" si="48"/>
        <v>5.23</v>
      </c>
      <c r="Q51" s="12">
        <f t="shared" si="48"/>
        <v>5.26</v>
      </c>
      <c r="R51" s="12">
        <f t="shared" si="48"/>
        <v>5.38</v>
      </c>
      <c r="S51" s="12">
        <f t="shared" si="48"/>
        <v>5.29</v>
      </c>
      <c r="T51" s="12">
        <f t="shared" si="48"/>
        <v>5.28</v>
      </c>
      <c r="U51" s="12">
        <f t="shared" si="48"/>
        <v>5.4</v>
      </c>
      <c r="V51" s="12">
        <f t="shared" si="48"/>
        <v>5.33</v>
      </c>
    </row>
    <row r="52" spans="1:22" x14ac:dyDescent="0.25">
      <c r="A52" s="327"/>
      <c r="B52" s="177"/>
      <c r="C52" s="323"/>
      <c r="D52" s="12" t="s">
        <v>593</v>
      </c>
      <c r="E52" s="12">
        <f>MIN(E46:E49)</f>
        <v>5.0199999999999996</v>
      </c>
      <c r="F52" s="12">
        <f t="shared" ref="F52:V52" si="49">MIN(F46:F49)</f>
        <v>5.0599999999999996</v>
      </c>
      <c r="G52" s="12">
        <f t="shared" si="49"/>
        <v>5.04</v>
      </c>
      <c r="H52" s="12">
        <f t="shared" si="49"/>
        <v>5</v>
      </c>
      <c r="I52" s="12">
        <f t="shared" si="49"/>
        <v>5.08</v>
      </c>
      <c r="J52" s="12">
        <f t="shared" si="49"/>
        <v>5.03</v>
      </c>
      <c r="K52" s="12">
        <f t="shared" si="49"/>
        <v>4.9800000000000004</v>
      </c>
      <c r="L52" s="12">
        <f t="shared" si="49"/>
        <v>5.0999999999999996</v>
      </c>
      <c r="M52" s="12">
        <f t="shared" si="49"/>
        <v>5.0199999999999996</v>
      </c>
      <c r="N52" s="12">
        <f t="shared" si="49"/>
        <v>5.08</v>
      </c>
      <c r="O52" s="12">
        <f t="shared" si="49"/>
        <v>5.2</v>
      </c>
      <c r="P52" s="12">
        <f t="shared" si="49"/>
        <v>5.12</v>
      </c>
      <c r="Q52" s="12">
        <f t="shared" si="49"/>
        <v>5.14</v>
      </c>
      <c r="R52" s="12">
        <f t="shared" si="49"/>
        <v>5.3</v>
      </c>
      <c r="S52" s="12">
        <f t="shared" si="49"/>
        <v>5.19</v>
      </c>
      <c r="T52" s="12">
        <f t="shared" si="49"/>
        <v>5.2</v>
      </c>
      <c r="U52" s="12">
        <f t="shared" si="49"/>
        <v>5.36</v>
      </c>
      <c r="V52" s="12">
        <f t="shared" si="49"/>
        <v>5.25</v>
      </c>
    </row>
  </sheetData>
  <mergeCells count="51">
    <mergeCell ref="C29:C31"/>
    <mergeCell ref="D29:D31"/>
    <mergeCell ref="B29:B31"/>
    <mergeCell ref="A29:A31"/>
    <mergeCell ref="B6:B26"/>
    <mergeCell ref="A1:V1"/>
    <mergeCell ref="A2:V2"/>
    <mergeCell ref="A6:A12"/>
    <mergeCell ref="A13:A19"/>
    <mergeCell ref="A20:A26"/>
    <mergeCell ref="E4:G4"/>
    <mergeCell ref="E3:V3"/>
    <mergeCell ref="B3:B5"/>
    <mergeCell ref="A3:A5"/>
    <mergeCell ref="C3:C5"/>
    <mergeCell ref="D3:D5"/>
    <mergeCell ref="H4:J4"/>
    <mergeCell ref="K4:M4"/>
    <mergeCell ref="N4:P4"/>
    <mergeCell ref="Q4:S4"/>
    <mergeCell ref="T4:V4"/>
    <mergeCell ref="X2:AI2"/>
    <mergeCell ref="A32:A38"/>
    <mergeCell ref="B32:B52"/>
    <mergeCell ref="A39:A45"/>
    <mergeCell ref="A46:A52"/>
    <mergeCell ref="C6:C12"/>
    <mergeCell ref="C13:C19"/>
    <mergeCell ref="C20:C26"/>
    <mergeCell ref="C32:C38"/>
    <mergeCell ref="C39:C45"/>
    <mergeCell ref="C46:C52"/>
    <mergeCell ref="A28:V28"/>
    <mergeCell ref="Y7:Y27"/>
    <mergeCell ref="AA7:AA13"/>
    <mergeCell ref="AA14:AA20"/>
    <mergeCell ref="AA21:AA27"/>
    <mergeCell ref="X3:X6"/>
    <mergeCell ref="Y3:Y6"/>
    <mergeCell ref="Z3:Z6"/>
    <mergeCell ref="AA3:AI3"/>
    <mergeCell ref="E30:G30"/>
    <mergeCell ref="E29:V29"/>
    <mergeCell ref="H30:J30"/>
    <mergeCell ref="X7:X13"/>
    <mergeCell ref="X14:X20"/>
    <mergeCell ref="X21:X27"/>
    <mergeCell ref="T30:V30"/>
    <mergeCell ref="Q30:S30"/>
    <mergeCell ref="N30:P30"/>
    <mergeCell ref="K30:M30"/>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B10F27-7FDD-4E3E-AC65-304DF725E4E4}">
  <dimension ref="A1:F5"/>
  <sheetViews>
    <sheetView zoomScale="70" zoomScaleNormal="70" workbookViewId="0">
      <selection activeCell="F7" sqref="F7"/>
    </sheetView>
  </sheetViews>
  <sheetFormatPr defaultRowHeight="15" x14ac:dyDescent="0.25"/>
  <cols>
    <col min="1" max="1" width="7.28515625" style="25" customWidth="1"/>
    <col min="2" max="2" width="9.140625" style="6" customWidth="1"/>
    <col min="3" max="3" width="42" customWidth="1"/>
    <col min="4" max="4" width="27.42578125" customWidth="1"/>
    <col min="5" max="5" width="42.28515625" customWidth="1"/>
    <col min="6" max="6" width="25.28515625" customWidth="1"/>
  </cols>
  <sheetData>
    <row r="1" spans="1:6" ht="25.5" customHeight="1" x14ac:dyDescent="0.25">
      <c r="A1" s="343" t="s">
        <v>118</v>
      </c>
      <c r="B1" s="344" t="s">
        <v>384</v>
      </c>
      <c r="C1" s="343" t="s">
        <v>618</v>
      </c>
      <c r="D1" s="343"/>
      <c r="E1" s="343"/>
      <c r="F1" s="343"/>
    </row>
    <row r="2" spans="1:6" ht="21" customHeight="1" x14ac:dyDescent="0.25">
      <c r="A2" s="343"/>
      <c r="B2" s="344"/>
      <c r="C2" s="327" t="s">
        <v>620</v>
      </c>
      <c r="D2" s="327"/>
      <c r="E2" s="342" t="s">
        <v>621</v>
      </c>
      <c r="F2" s="342"/>
    </row>
    <row r="3" spans="1:6" ht="168" customHeight="1" x14ac:dyDescent="0.25">
      <c r="A3" s="139">
        <v>1</v>
      </c>
      <c r="B3" s="139" t="s">
        <v>619</v>
      </c>
      <c r="C3" s="132"/>
      <c r="D3" s="136" t="s">
        <v>624</v>
      </c>
      <c r="E3" s="137"/>
      <c r="F3" s="138" t="s">
        <v>623</v>
      </c>
    </row>
    <row r="4" spans="1:6" ht="169.5" customHeight="1" x14ac:dyDescent="0.25">
      <c r="A4" s="139">
        <v>2</v>
      </c>
      <c r="B4" s="139">
        <v>220</v>
      </c>
      <c r="C4" s="132"/>
      <c r="D4" s="136" t="s">
        <v>625</v>
      </c>
      <c r="E4" s="137"/>
      <c r="F4" s="138" t="s">
        <v>623</v>
      </c>
    </row>
    <row r="5" spans="1:6" ht="167.25" customHeight="1" x14ac:dyDescent="0.25">
      <c r="A5" s="139">
        <v>3</v>
      </c>
      <c r="B5" s="139">
        <v>265</v>
      </c>
      <c r="C5" s="132"/>
      <c r="D5" s="136" t="s">
        <v>626</v>
      </c>
      <c r="E5" s="137"/>
      <c r="F5" s="138" t="s">
        <v>622</v>
      </c>
    </row>
  </sheetData>
  <mergeCells count="5">
    <mergeCell ref="E2:F2"/>
    <mergeCell ref="C1:F1"/>
    <mergeCell ref="B1:B2"/>
    <mergeCell ref="A1:A2"/>
    <mergeCell ref="C2:D2"/>
  </mergeCells>
  <pageMargins left="0.7" right="0.7" top="0.75" bottom="0.75" header="0.3" footer="0.3"/>
  <pageSetup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E57B67-0433-4ABE-9466-561D6E8F812B}">
  <dimension ref="A1:I23"/>
  <sheetViews>
    <sheetView zoomScale="55" zoomScaleNormal="55" zoomScaleSheetLayoutView="85" workbookViewId="0">
      <pane ySplit="3" topLeftCell="A4" activePane="bottomLeft" state="frozen"/>
      <selection pane="bottomLeft" activeCell="T6" sqref="T6"/>
    </sheetView>
  </sheetViews>
  <sheetFormatPr defaultRowHeight="15" x14ac:dyDescent="0.25"/>
  <cols>
    <col min="1" max="1" width="4.85546875" style="6" customWidth="1"/>
    <col min="2" max="2" width="15.28515625" customWidth="1"/>
    <col min="3" max="3" width="24.5703125" customWidth="1"/>
    <col min="4" max="4" width="42" customWidth="1"/>
    <col min="5" max="5" width="42.7109375" customWidth="1"/>
    <col min="6" max="6" width="43" customWidth="1"/>
    <col min="7" max="7" width="42.140625" customWidth="1"/>
    <col min="8" max="8" width="19.42578125" customWidth="1"/>
    <col min="9" max="9" width="28.140625" customWidth="1"/>
  </cols>
  <sheetData>
    <row r="1" spans="1:9" ht="24.75" customHeight="1" x14ac:dyDescent="0.25">
      <c r="A1" s="350" t="s">
        <v>118</v>
      </c>
      <c r="B1" s="361" t="s">
        <v>637</v>
      </c>
      <c r="C1" s="363" t="s">
        <v>640</v>
      </c>
      <c r="D1" s="357" t="s">
        <v>643</v>
      </c>
      <c r="E1" s="357"/>
      <c r="F1" s="357"/>
      <c r="G1" s="357"/>
      <c r="H1" s="358" t="s">
        <v>644</v>
      </c>
      <c r="I1" s="358" t="s">
        <v>413</v>
      </c>
    </row>
    <row r="2" spans="1:9" ht="31.5" customHeight="1" x14ac:dyDescent="0.25">
      <c r="A2" s="350"/>
      <c r="B2" s="361"/>
      <c r="C2" s="364"/>
      <c r="D2" s="360" t="s">
        <v>595</v>
      </c>
      <c r="E2" s="360"/>
      <c r="F2" s="360"/>
      <c r="G2" s="360"/>
      <c r="H2" s="358"/>
      <c r="I2" s="358"/>
    </row>
    <row r="3" spans="1:9" s="135" customFormat="1" ht="28.5" customHeight="1" x14ac:dyDescent="0.25">
      <c r="A3" s="351"/>
      <c r="B3" s="361"/>
      <c r="C3" s="365"/>
      <c r="D3" s="144" t="s">
        <v>74</v>
      </c>
      <c r="E3" s="144">
        <v>265</v>
      </c>
      <c r="F3" s="144">
        <v>220</v>
      </c>
      <c r="G3" s="144">
        <v>150</v>
      </c>
      <c r="H3" s="358"/>
      <c r="I3" s="358"/>
    </row>
    <row r="4" spans="1:9" s="135" customFormat="1" ht="28.5" customHeight="1" x14ac:dyDescent="0.25">
      <c r="A4" s="134"/>
      <c r="B4" s="359" t="s">
        <v>648</v>
      </c>
      <c r="C4" s="359"/>
      <c r="D4" s="359"/>
      <c r="E4" s="359"/>
      <c r="F4" s="359"/>
      <c r="G4" s="359"/>
      <c r="H4" s="359"/>
      <c r="I4" s="359"/>
    </row>
    <row r="5" spans="1:9" ht="50.25" customHeight="1" x14ac:dyDescent="0.25">
      <c r="A5" s="335">
        <v>1</v>
      </c>
      <c r="B5" s="362" t="s">
        <v>638</v>
      </c>
      <c r="C5" s="362" t="s">
        <v>641</v>
      </c>
      <c r="D5" s="142" t="s">
        <v>108</v>
      </c>
      <c r="E5" s="142" t="s">
        <v>109</v>
      </c>
      <c r="F5" s="142" t="s">
        <v>107</v>
      </c>
      <c r="G5" s="142" t="s">
        <v>110</v>
      </c>
      <c r="H5" s="190" t="s">
        <v>645</v>
      </c>
      <c r="I5" s="190" t="s">
        <v>646</v>
      </c>
    </row>
    <row r="6" spans="1:9" ht="165" customHeight="1" x14ac:dyDescent="0.25">
      <c r="A6" s="335"/>
      <c r="B6" s="362"/>
      <c r="C6" s="362"/>
      <c r="D6" s="143"/>
      <c r="E6" s="143"/>
      <c r="F6" s="143"/>
      <c r="G6" s="143"/>
      <c r="H6" s="190"/>
      <c r="I6" s="196"/>
    </row>
    <row r="7" spans="1:9" ht="39" customHeight="1" x14ac:dyDescent="0.25">
      <c r="A7" s="335">
        <v>2</v>
      </c>
      <c r="B7" s="362" t="s">
        <v>639</v>
      </c>
      <c r="C7" s="362" t="s">
        <v>642</v>
      </c>
      <c r="D7" s="142" t="s">
        <v>633</v>
      </c>
      <c r="E7" s="142" t="s">
        <v>634</v>
      </c>
      <c r="F7" s="142" t="s">
        <v>635</v>
      </c>
      <c r="G7" s="142" t="s">
        <v>636</v>
      </c>
      <c r="H7" s="190" t="s">
        <v>645</v>
      </c>
      <c r="I7" s="190" t="s">
        <v>646</v>
      </c>
    </row>
    <row r="8" spans="1:9" ht="165.75" customHeight="1" x14ac:dyDescent="0.25">
      <c r="A8" s="335"/>
      <c r="B8" s="362"/>
      <c r="C8" s="362"/>
      <c r="D8" s="143"/>
      <c r="E8" s="143"/>
      <c r="F8" s="143"/>
      <c r="G8" s="143"/>
      <c r="H8" s="190"/>
      <c r="I8" s="196"/>
    </row>
    <row r="9" spans="1:9" ht="30" x14ac:dyDescent="0.25">
      <c r="A9" s="335">
        <v>3</v>
      </c>
      <c r="B9" s="355" t="s">
        <v>649</v>
      </c>
      <c r="C9" s="355" t="s">
        <v>641</v>
      </c>
      <c r="D9" s="142" t="s">
        <v>85</v>
      </c>
      <c r="E9" s="142" t="s">
        <v>84</v>
      </c>
      <c r="F9" s="142" t="s">
        <v>80</v>
      </c>
      <c r="G9" s="142" t="s">
        <v>79</v>
      </c>
      <c r="H9" s="190" t="s">
        <v>645</v>
      </c>
      <c r="I9" s="190" t="s">
        <v>646</v>
      </c>
    </row>
    <row r="10" spans="1:9" ht="165.75" customHeight="1" x14ac:dyDescent="0.25">
      <c r="A10" s="335"/>
      <c r="B10" s="356"/>
      <c r="C10" s="356"/>
      <c r="D10" s="143"/>
      <c r="E10" s="143"/>
      <c r="F10" s="143"/>
      <c r="G10" s="143"/>
      <c r="H10" s="190"/>
      <c r="I10" s="196"/>
    </row>
    <row r="11" spans="1:9" ht="30" x14ac:dyDescent="0.25">
      <c r="A11" s="335">
        <v>4</v>
      </c>
      <c r="B11" s="355" t="s">
        <v>650</v>
      </c>
      <c r="C11" s="355" t="s">
        <v>651</v>
      </c>
      <c r="D11" s="142" t="s">
        <v>83</v>
      </c>
      <c r="E11" s="142" t="s">
        <v>82</v>
      </c>
      <c r="F11" s="142" t="s">
        <v>81</v>
      </c>
      <c r="G11" s="142" t="s">
        <v>78</v>
      </c>
      <c r="H11" s="190" t="s">
        <v>645</v>
      </c>
      <c r="I11" s="190" t="s">
        <v>646</v>
      </c>
    </row>
    <row r="12" spans="1:9" ht="165" customHeight="1" x14ac:dyDescent="0.25">
      <c r="A12" s="335"/>
      <c r="B12" s="356"/>
      <c r="C12" s="356"/>
      <c r="D12" s="143"/>
      <c r="E12" s="143"/>
      <c r="F12" s="143"/>
      <c r="G12" s="143"/>
      <c r="H12" s="190"/>
      <c r="I12" s="196"/>
    </row>
    <row r="13" spans="1:9" s="135" customFormat="1" ht="36" customHeight="1" x14ac:dyDescent="0.25">
      <c r="A13" s="141"/>
      <c r="B13" s="354" t="s">
        <v>647</v>
      </c>
      <c r="C13" s="354"/>
      <c r="D13" s="354"/>
      <c r="E13" s="354"/>
      <c r="F13" s="354"/>
      <c r="G13" s="354"/>
      <c r="H13" s="354"/>
      <c r="I13" s="354"/>
    </row>
    <row r="14" spans="1:9" ht="60" customHeight="1" x14ac:dyDescent="0.25">
      <c r="A14" s="352">
        <v>5</v>
      </c>
      <c r="B14" s="353" t="s">
        <v>638</v>
      </c>
      <c r="C14" s="353" t="s">
        <v>641</v>
      </c>
      <c r="D14" s="142" t="s">
        <v>101</v>
      </c>
      <c r="E14" s="142" t="s">
        <v>100</v>
      </c>
      <c r="F14" s="142" t="s">
        <v>99</v>
      </c>
      <c r="G14" s="142" t="s">
        <v>98</v>
      </c>
      <c r="H14" s="190" t="s">
        <v>645</v>
      </c>
      <c r="I14" s="190" t="s">
        <v>646</v>
      </c>
    </row>
    <row r="15" spans="1:9" ht="170.25" customHeight="1" x14ac:dyDescent="0.25">
      <c r="A15" s="352"/>
      <c r="B15" s="353"/>
      <c r="C15" s="353"/>
      <c r="D15" s="143"/>
      <c r="E15" s="143"/>
      <c r="F15" s="143"/>
      <c r="G15" s="143"/>
      <c r="H15" s="190"/>
      <c r="I15" s="196"/>
    </row>
    <row r="16" spans="1:9" ht="30" x14ac:dyDescent="0.25">
      <c r="A16" s="352">
        <v>6</v>
      </c>
      <c r="B16" s="353" t="s">
        <v>639</v>
      </c>
      <c r="C16" s="353" t="s">
        <v>642</v>
      </c>
      <c r="D16" s="142" t="s">
        <v>102</v>
      </c>
      <c r="E16" s="142" t="s">
        <v>103</v>
      </c>
      <c r="F16" s="142" t="s">
        <v>75</v>
      </c>
      <c r="G16" s="142" t="s">
        <v>104</v>
      </c>
      <c r="H16" s="190" t="s">
        <v>645</v>
      </c>
      <c r="I16" s="190" t="s">
        <v>646</v>
      </c>
    </row>
    <row r="17" spans="1:9" ht="166.5" customHeight="1" x14ac:dyDescent="0.25">
      <c r="A17" s="352"/>
      <c r="B17" s="353"/>
      <c r="C17" s="353"/>
      <c r="D17" s="143"/>
      <c r="E17" s="143"/>
      <c r="F17" s="143"/>
      <c r="G17" s="143"/>
      <c r="H17" s="190"/>
      <c r="I17" s="196"/>
    </row>
    <row r="18" spans="1:9" ht="30" x14ac:dyDescent="0.25">
      <c r="A18" s="352">
        <v>7</v>
      </c>
      <c r="B18" s="345" t="s">
        <v>649</v>
      </c>
      <c r="C18" s="345" t="s">
        <v>641</v>
      </c>
      <c r="D18" s="142" t="s">
        <v>93</v>
      </c>
      <c r="E18" s="142" t="s">
        <v>92</v>
      </c>
      <c r="F18" s="142" t="s">
        <v>91</v>
      </c>
      <c r="G18" s="142" t="s">
        <v>90</v>
      </c>
      <c r="H18" s="190" t="s">
        <v>645</v>
      </c>
      <c r="I18" s="190" t="s">
        <v>646</v>
      </c>
    </row>
    <row r="19" spans="1:9" ht="164.25" customHeight="1" x14ac:dyDescent="0.25">
      <c r="A19" s="352"/>
      <c r="B19" s="346"/>
      <c r="C19" s="346"/>
      <c r="D19" s="143"/>
      <c r="E19" s="143"/>
      <c r="F19" s="143"/>
      <c r="G19" s="143"/>
      <c r="H19" s="190"/>
      <c r="I19" s="196"/>
    </row>
    <row r="20" spans="1:9" ht="30" x14ac:dyDescent="0.25">
      <c r="A20" s="352">
        <v>8</v>
      </c>
      <c r="B20" s="345" t="s">
        <v>650</v>
      </c>
      <c r="C20" s="345" t="s">
        <v>651</v>
      </c>
      <c r="D20" s="142" t="s">
        <v>94</v>
      </c>
      <c r="E20" s="142" t="s">
        <v>95</v>
      </c>
      <c r="F20" s="142" t="s">
        <v>96</v>
      </c>
      <c r="G20" s="142" t="s">
        <v>97</v>
      </c>
      <c r="H20" s="190" t="s">
        <v>645</v>
      </c>
      <c r="I20" s="190" t="s">
        <v>646</v>
      </c>
    </row>
    <row r="21" spans="1:9" ht="171.75" customHeight="1" x14ac:dyDescent="0.25">
      <c r="A21" s="352"/>
      <c r="B21" s="346"/>
      <c r="C21" s="346"/>
      <c r="D21" s="143"/>
      <c r="E21" s="143"/>
      <c r="F21" s="143"/>
      <c r="G21" s="143"/>
      <c r="H21" s="190"/>
      <c r="I21" s="196"/>
    </row>
    <row r="22" spans="1:9" ht="29.25" customHeight="1" x14ac:dyDescent="0.25">
      <c r="A22" s="352">
        <v>9</v>
      </c>
      <c r="B22" s="345" t="s">
        <v>652</v>
      </c>
      <c r="C22" s="345" t="s">
        <v>641</v>
      </c>
      <c r="D22" s="142" t="s">
        <v>86</v>
      </c>
      <c r="E22" s="142" t="s">
        <v>87</v>
      </c>
      <c r="F22" s="142" t="s">
        <v>88</v>
      </c>
      <c r="G22" s="142" t="s">
        <v>89</v>
      </c>
      <c r="H22" s="347" t="s">
        <v>653</v>
      </c>
      <c r="I22" s="347" t="s">
        <v>654</v>
      </c>
    </row>
    <row r="23" spans="1:9" ht="166.5" customHeight="1" x14ac:dyDescent="0.25">
      <c r="A23" s="352"/>
      <c r="B23" s="346"/>
      <c r="C23" s="346"/>
      <c r="D23" s="143"/>
      <c r="E23" s="143"/>
      <c r="F23" s="143"/>
      <c r="G23" s="143"/>
      <c r="H23" s="348"/>
      <c r="I23" s="349"/>
    </row>
  </sheetData>
  <mergeCells count="54">
    <mergeCell ref="A5:A6"/>
    <mergeCell ref="A7:A8"/>
    <mergeCell ref="B16:B17"/>
    <mergeCell ref="C9:C10"/>
    <mergeCell ref="C11:C12"/>
    <mergeCell ref="C7:C8"/>
    <mergeCell ref="D1:G1"/>
    <mergeCell ref="H5:H6"/>
    <mergeCell ref="H7:H8"/>
    <mergeCell ref="H1:H3"/>
    <mergeCell ref="I1:I3"/>
    <mergeCell ref="B4:I4"/>
    <mergeCell ref="I5:I6"/>
    <mergeCell ref="I7:I8"/>
    <mergeCell ref="D2:G2"/>
    <mergeCell ref="B1:B3"/>
    <mergeCell ref="B5:B6"/>
    <mergeCell ref="B7:B8"/>
    <mergeCell ref="C1:C3"/>
    <mergeCell ref="C5:C6"/>
    <mergeCell ref="H16:H17"/>
    <mergeCell ref="I16:I17"/>
    <mergeCell ref="H9:H10"/>
    <mergeCell ref="I9:I10"/>
    <mergeCell ref="H11:H12"/>
    <mergeCell ref="I11:I12"/>
    <mergeCell ref="H14:H15"/>
    <mergeCell ref="I14:I15"/>
    <mergeCell ref="B13:I13"/>
    <mergeCell ref="B9:B10"/>
    <mergeCell ref="B11:B12"/>
    <mergeCell ref="B14:B15"/>
    <mergeCell ref="C14:C15"/>
    <mergeCell ref="C20:C21"/>
    <mergeCell ref="H18:H19"/>
    <mergeCell ref="I18:I19"/>
    <mergeCell ref="H20:H21"/>
    <mergeCell ref="I20:I21"/>
    <mergeCell ref="C22:C23"/>
    <mergeCell ref="B22:B23"/>
    <mergeCell ref="H22:H23"/>
    <mergeCell ref="I22:I23"/>
    <mergeCell ref="A1:A3"/>
    <mergeCell ref="A9:A10"/>
    <mergeCell ref="A11:A12"/>
    <mergeCell ref="A14:A15"/>
    <mergeCell ref="A16:A17"/>
    <mergeCell ref="A18:A19"/>
    <mergeCell ref="A20:A21"/>
    <mergeCell ref="A22:A23"/>
    <mergeCell ref="C16:C17"/>
    <mergeCell ref="B18:B19"/>
    <mergeCell ref="C18:C19"/>
    <mergeCell ref="B20:B21"/>
  </mergeCells>
  <phoneticPr fontId="3" type="noConversion"/>
  <pageMargins left="0.7" right="0.7" top="0.75" bottom="0.75" header="0.3" footer="0.3"/>
  <pageSetup paperSize="9" scale="48" orientation="landscape" verticalDpi="0" r:id="rId1"/>
  <rowBreaks count="2" manualBreakCount="2">
    <brk id="3" max="16383" man="1"/>
    <brk id="12" max="8" man="1"/>
  </rowBreaks>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9972A9-D79F-4116-8675-25E31B2AD18E}">
  <dimension ref="A1:N24"/>
  <sheetViews>
    <sheetView tabSelected="1" zoomScale="85" zoomScaleNormal="85" workbookViewId="0">
      <selection activeCell="R15" sqref="R15"/>
    </sheetView>
  </sheetViews>
  <sheetFormatPr defaultRowHeight="15" x14ac:dyDescent="0.25"/>
  <cols>
    <col min="1" max="1" width="12.28515625" customWidth="1"/>
    <col min="2" max="8" width="15.42578125" customWidth="1"/>
    <col min="9" max="11" width="15.42578125" hidden="1" customWidth="1"/>
    <col min="12" max="14" width="15.42578125" customWidth="1"/>
  </cols>
  <sheetData>
    <row r="1" spans="1:14" ht="54.75" customHeight="1" x14ac:dyDescent="0.25">
      <c r="A1" s="369" t="s">
        <v>744</v>
      </c>
      <c r="B1" s="369"/>
      <c r="C1" s="369"/>
      <c r="D1" s="369"/>
      <c r="E1" s="369"/>
      <c r="F1" s="369"/>
      <c r="G1" s="369"/>
      <c r="H1" s="369"/>
      <c r="I1" s="369"/>
      <c r="J1" s="369"/>
      <c r="K1" s="369"/>
      <c r="L1" s="369"/>
      <c r="M1" s="369"/>
      <c r="N1" s="369"/>
    </row>
    <row r="2" spans="1:14" x14ac:dyDescent="0.25">
      <c r="A2" s="378" t="s">
        <v>76</v>
      </c>
      <c r="B2" s="378"/>
      <c r="C2" s="19">
        <v>1</v>
      </c>
      <c r="D2" s="19">
        <v>2</v>
      </c>
      <c r="E2" s="19">
        <v>3</v>
      </c>
      <c r="F2" s="19">
        <v>4</v>
      </c>
      <c r="G2" s="19">
        <v>5</v>
      </c>
      <c r="H2" s="19">
        <v>6</v>
      </c>
      <c r="I2" s="19">
        <v>7</v>
      </c>
      <c r="J2" s="19">
        <v>7</v>
      </c>
      <c r="K2" s="19">
        <v>8</v>
      </c>
      <c r="L2" s="19">
        <v>9</v>
      </c>
      <c r="M2" s="19">
        <v>10</v>
      </c>
      <c r="N2" s="19">
        <v>11</v>
      </c>
    </row>
    <row r="3" spans="1:14" ht="19.5" customHeight="1" x14ac:dyDescent="0.25">
      <c r="A3" s="359" t="s">
        <v>746</v>
      </c>
      <c r="B3" s="43" t="s">
        <v>384</v>
      </c>
      <c r="C3" s="43" t="s">
        <v>2</v>
      </c>
      <c r="D3" s="43" t="s">
        <v>67</v>
      </c>
      <c r="E3" s="43" t="s">
        <v>68</v>
      </c>
      <c r="F3" s="43" t="s">
        <v>11</v>
      </c>
      <c r="G3" s="43" t="s">
        <v>768</v>
      </c>
      <c r="H3" s="43" t="s">
        <v>69</v>
      </c>
      <c r="I3" s="43" t="s">
        <v>70</v>
      </c>
      <c r="J3" s="43" t="s">
        <v>105</v>
      </c>
      <c r="K3" s="43" t="s">
        <v>71</v>
      </c>
      <c r="L3" s="43" t="s">
        <v>72</v>
      </c>
      <c r="M3" s="376" t="s">
        <v>73</v>
      </c>
      <c r="N3" s="376"/>
    </row>
    <row r="4" spans="1:14" ht="19.5" customHeight="1" x14ac:dyDescent="0.25">
      <c r="A4" s="359"/>
      <c r="B4" s="8">
        <v>300</v>
      </c>
      <c r="C4" s="8">
        <v>56.3</v>
      </c>
      <c r="D4" s="8">
        <v>63.6</v>
      </c>
      <c r="E4" s="8">
        <v>74.5</v>
      </c>
      <c r="F4" s="8">
        <v>67.5</v>
      </c>
      <c r="G4" s="10">
        <v>89.9</v>
      </c>
      <c r="H4" s="8">
        <v>56.5</v>
      </c>
      <c r="I4" s="75">
        <v>68.2</v>
      </c>
      <c r="J4" s="75">
        <v>73.8</v>
      </c>
      <c r="K4" s="8">
        <v>69.900000000000006</v>
      </c>
      <c r="L4" s="8">
        <v>57.2</v>
      </c>
      <c r="M4" s="8">
        <v>51.6</v>
      </c>
      <c r="N4" s="8">
        <v>51.8</v>
      </c>
    </row>
    <row r="5" spans="1:14" ht="19.5" customHeight="1" x14ac:dyDescent="0.25">
      <c r="A5" s="359"/>
      <c r="B5" s="8">
        <v>250</v>
      </c>
      <c r="C5" s="8">
        <v>56.2</v>
      </c>
      <c r="D5" s="8">
        <v>62.4</v>
      </c>
      <c r="E5" s="8">
        <v>71.2</v>
      </c>
      <c r="F5" s="8">
        <v>66.2</v>
      </c>
      <c r="G5" s="10">
        <v>79.5</v>
      </c>
      <c r="H5" s="8">
        <v>55.9</v>
      </c>
      <c r="I5" s="75">
        <v>66.5</v>
      </c>
      <c r="J5" s="75">
        <v>70.5</v>
      </c>
      <c r="K5" s="8">
        <v>67.400000000000006</v>
      </c>
      <c r="L5" s="8">
        <v>58.4</v>
      </c>
      <c r="M5" s="8">
        <v>51.4</v>
      </c>
      <c r="N5" s="8">
        <v>51.7</v>
      </c>
    </row>
    <row r="6" spans="1:14" ht="19.5" customHeight="1" x14ac:dyDescent="0.25">
      <c r="A6" s="359"/>
      <c r="B6" s="8">
        <v>220</v>
      </c>
      <c r="C6" s="8">
        <v>56.1</v>
      </c>
      <c r="D6" s="8">
        <v>61.7</v>
      </c>
      <c r="E6" s="8">
        <v>69.7</v>
      </c>
      <c r="F6" s="8">
        <v>65.599999999999994</v>
      </c>
      <c r="G6" s="10">
        <v>79.8</v>
      </c>
      <c r="H6" s="8">
        <v>55.6</v>
      </c>
      <c r="I6" s="75">
        <v>65.400000000000006</v>
      </c>
      <c r="J6" s="75">
        <v>68.8</v>
      </c>
      <c r="K6" s="8">
        <v>66.3</v>
      </c>
      <c r="L6" s="8">
        <v>59</v>
      </c>
      <c r="M6" s="8">
        <v>51.6</v>
      </c>
      <c r="N6" s="8">
        <v>51.4</v>
      </c>
    </row>
    <row r="7" spans="1:14" ht="19.5" customHeight="1" x14ac:dyDescent="0.25">
      <c r="A7" s="359"/>
      <c r="B7" s="8">
        <v>150</v>
      </c>
      <c r="C7" s="8">
        <v>56.4</v>
      </c>
      <c r="D7" s="8">
        <v>61.1</v>
      </c>
      <c r="E7" s="8">
        <v>68.099999999999994</v>
      </c>
      <c r="F7" s="8">
        <v>65.2</v>
      </c>
      <c r="G7" s="10">
        <v>79.900000000000006</v>
      </c>
      <c r="H7" s="8">
        <v>55.6</v>
      </c>
      <c r="I7" s="75">
        <v>64.8</v>
      </c>
      <c r="J7" s="75">
        <v>66.900000000000006</v>
      </c>
      <c r="K7" s="8">
        <v>65.2</v>
      </c>
      <c r="L7" s="8">
        <v>62.5</v>
      </c>
      <c r="M7" s="8">
        <v>51.8</v>
      </c>
      <c r="N7" s="8">
        <v>51.6</v>
      </c>
    </row>
    <row r="8" spans="1:14" x14ac:dyDescent="0.25">
      <c r="A8" s="373"/>
      <c r="B8" s="374"/>
      <c r="C8" s="374"/>
      <c r="D8" s="374"/>
      <c r="E8" s="374"/>
      <c r="F8" s="374"/>
      <c r="G8" s="374"/>
      <c r="H8" s="374"/>
      <c r="I8" s="374"/>
      <c r="J8" s="374"/>
      <c r="K8" s="374"/>
      <c r="L8" s="374"/>
      <c r="M8" s="374"/>
      <c r="N8" s="375"/>
    </row>
    <row r="9" spans="1:14" ht="23.25" customHeight="1" x14ac:dyDescent="0.25">
      <c r="A9" s="354" t="s">
        <v>745</v>
      </c>
      <c r="B9" s="166" t="s">
        <v>384</v>
      </c>
      <c r="C9" s="166" t="s">
        <v>2</v>
      </c>
      <c r="D9" s="166" t="s">
        <v>67</v>
      </c>
      <c r="E9" s="166" t="s">
        <v>68</v>
      </c>
      <c r="F9" s="166" t="s">
        <v>11</v>
      </c>
      <c r="G9" s="166" t="s">
        <v>769</v>
      </c>
      <c r="H9" s="166" t="s">
        <v>69</v>
      </c>
      <c r="I9" s="166" t="s">
        <v>70</v>
      </c>
      <c r="J9" s="166" t="s">
        <v>106</v>
      </c>
      <c r="K9" s="166" t="s">
        <v>71</v>
      </c>
      <c r="L9" s="166" t="s">
        <v>72</v>
      </c>
      <c r="M9" s="377" t="s">
        <v>73</v>
      </c>
      <c r="N9" s="377"/>
    </row>
    <row r="10" spans="1:14" ht="23.25" customHeight="1" x14ac:dyDescent="0.25">
      <c r="A10" s="354"/>
      <c r="B10" s="8">
        <v>300</v>
      </c>
      <c r="C10" s="8">
        <v>85.4</v>
      </c>
      <c r="D10" s="8">
        <v>92.4</v>
      </c>
      <c r="E10" s="8">
        <v>102.3</v>
      </c>
      <c r="F10" s="8">
        <v>95.8</v>
      </c>
      <c r="G10" s="10">
        <v>108.1</v>
      </c>
      <c r="H10" s="8">
        <v>85</v>
      </c>
      <c r="I10" s="75">
        <v>96.7</v>
      </c>
      <c r="J10" s="75">
        <v>101.8</v>
      </c>
      <c r="K10" s="8">
        <v>96.9</v>
      </c>
      <c r="L10" s="8">
        <v>86.7</v>
      </c>
      <c r="M10" s="8">
        <v>81.2</v>
      </c>
      <c r="N10" s="8">
        <v>82.3</v>
      </c>
    </row>
    <row r="11" spans="1:14" ht="23.25" customHeight="1" x14ac:dyDescent="0.25">
      <c r="A11" s="354"/>
      <c r="B11" s="8">
        <v>250</v>
      </c>
      <c r="C11" s="8">
        <v>84.8</v>
      </c>
      <c r="D11" s="8">
        <v>90.4</v>
      </c>
      <c r="E11" s="8">
        <v>99</v>
      </c>
      <c r="F11" s="8">
        <v>94.6</v>
      </c>
      <c r="G11" s="10">
        <v>107.8</v>
      </c>
      <c r="H11" s="8">
        <v>84.4</v>
      </c>
      <c r="I11" s="75">
        <v>94.6</v>
      </c>
      <c r="J11" s="75">
        <v>98.4</v>
      </c>
      <c r="K11" s="8">
        <v>94.5</v>
      </c>
      <c r="L11" s="8">
        <v>87.4</v>
      </c>
      <c r="M11" s="8">
        <v>81.400000000000006</v>
      </c>
      <c r="N11" s="8">
        <v>81.8</v>
      </c>
    </row>
    <row r="12" spans="1:14" ht="23.25" customHeight="1" x14ac:dyDescent="0.25">
      <c r="A12" s="354"/>
      <c r="B12" s="8">
        <v>220</v>
      </c>
      <c r="C12" s="8">
        <v>84.8</v>
      </c>
      <c r="D12" s="8">
        <v>89.9</v>
      </c>
      <c r="E12" s="8">
        <v>97.7</v>
      </c>
      <c r="F12" s="8">
        <v>94.1</v>
      </c>
      <c r="G12" s="10">
        <v>107.6</v>
      </c>
      <c r="H12" s="8">
        <v>84.5</v>
      </c>
      <c r="I12" s="75">
        <v>93.8</v>
      </c>
      <c r="J12" s="75">
        <v>96.69</v>
      </c>
      <c r="K12" s="8">
        <v>93.4</v>
      </c>
      <c r="L12" s="8">
        <v>88.2</v>
      </c>
      <c r="M12" s="8">
        <v>81.2</v>
      </c>
      <c r="N12" s="8">
        <v>82.2</v>
      </c>
    </row>
    <row r="13" spans="1:14" ht="23.25" customHeight="1" x14ac:dyDescent="0.25">
      <c r="A13" s="354"/>
      <c r="B13" s="8">
        <v>150</v>
      </c>
      <c r="C13" s="8">
        <v>85.4</v>
      </c>
      <c r="D13" s="8">
        <v>89.4</v>
      </c>
      <c r="E13" s="8">
        <v>95.7</v>
      </c>
      <c r="F13" s="8">
        <v>93.2</v>
      </c>
      <c r="G13" s="10">
        <v>107.9</v>
      </c>
      <c r="H13" s="8">
        <v>84.5</v>
      </c>
      <c r="I13" s="75">
        <v>92.7</v>
      </c>
      <c r="J13" s="75">
        <v>94.6</v>
      </c>
      <c r="K13" s="8">
        <v>92.1</v>
      </c>
      <c r="L13" s="8">
        <v>91.5</v>
      </c>
      <c r="M13" s="8">
        <v>82.2</v>
      </c>
      <c r="N13" s="8">
        <v>81.900000000000006</v>
      </c>
    </row>
    <row r="14" spans="1:14" x14ac:dyDescent="0.25">
      <c r="A14" s="427" t="s">
        <v>767</v>
      </c>
      <c r="B14" s="211"/>
      <c r="C14" s="211"/>
      <c r="D14" s="211"/>
      <c r="E14" s="211"/>
      <c r="F14" s="211"/>
      <c r="G14" s="211"/>
      <c r="H14" s="211"/>
      <c r="I14" s="211"/>
      <c r="J14" s="211"/>
      <c r="K14" s="211"/>
      <c r="L14" s="211"/>
      <c r="M14" s="211"/>
      <c r="N14" s="211"/>
    </row>
    <row r="15" spans="1:14" ht="33" customHeight="1" x14ac:dyDescent="0.25">
      <c r="A15" s="369" t="s">
        <v>720</v>
      </c>
      <c r="B15" s="369"/>
      <c r="C15" s="369"/>
      <c r="D15" s="369"/>
      <c r="E15" s="369"/>
      <c r="F15" s="369"/>
      <c r="G15" s="369"/>
      <c r="H15" s="369"/>
      <c r="I15" s="369"/>
      <c r="J15" s="369"/>
      <c r="K15" s="369"/>
      <c r="L15" s="369"/>
      <c r="M15" s="369"/>
      <c r="N15" s="369"/>
    </row>
    <row r="16" spans="1:14" x14ac:dyDescent="0.25">
      <c r="A16" s="8" t="s">
        <v>118</v>
      </c>
      <c r="B16" s="177" t="s">
        <v>721</v>
      </c>
      <c r="C16" s="177"/>
      <c r="D16" s="177"/>
      <c r="E16" s="177"/>
      <c r="F16" s="8" t="s">
        <v>739</v>
      </c>
      <c r="G16" s="8" t="s">
        <v>740</v>
      </c>
      <c r="H16" s="6"/>
      <c r="I16" s="6"/>
      <c r="J16" s="6"/>
      <c r="K16" s="6"/>
      <c r="L16" s="6"/>
      <c r="M16" s="6"/>
      <c r="N16" s="6"/>
    </row>
    <row r="17" spans="1:14" ht="26.25" customHeight="1" x14ac:dyDescent="0.25">
      <c r="A17" s="8">
        <v>1</v>
      </c>
      <c r="B17" s="177" t="s">
        <v>729</v>
      </c>
      <c r="C17" s="288" t="s">
        <v>722</v>
      </c>
      <c r="D17" s="289"/>
      <c r="E17" s="290"/>
      <c r="F17" s="8">
        <v>40.4</v>
      </c>
      <c r="G17" s="8">
        <v>33.799999999999997</v>
      </c>
      <c r="H17" s="6"/>
      <c r="I17" s="6"/>
      <c r="J17" s="6"/>
      <c r="K17" s="6"/>
      <c r="L17" s="6"/>
      <c r="M17" s="6"/>
      <c r="N17" s="6"/>
    </row>
    <row r="18" spans="1:14" ht="26.25" customHeight="1" x14ac:dyDescent="0.25">
      <c r="A18" s="8">
        <v>2</v>
      </c>
      <c r="B18" s="177"/>
      <c r="C18" s="366" t="s">
        <v>737</v>
      </c>
      <c r="D18" s="367"/>
      <c r="E18" s="368"/>
      <c r="F18" s="165" t="s">
        <v>180</v>
      </c>
      <c r="G18" s="8">
        <v>35.299999999999997</v>
      </c>
      <c r="H18" s="6"/>
      <c r="I18" s="6"/>
      <c r="J18" s="6"/>
      <c r="K18" s="6"/>
      <c r="L18" s="6"/>
      <c r="M18" s="6"/>
      <c r="N18" s="6"/>
    </row>
    <row r="19" spans="1:14" ht="26.25" customHeight="1" x14ac:dyDescent="0.25">
      <c r="A19" s="8">
        <v>3</v>
      </c>
      <c r="B19" s="177"/>
      <c r="C19" s="366" t="s">
        <v>723</v>
      </c>
      <c r="D19" s="367"/>
      <c r="E19" s="368"/>
      <c r="F19" s="8">
        <v>45.6</v>
      </c>
      <c r="G19" s="8">
        <v>46.1</v>
      </c>
      <c r="H19" s="6"/>
      <c r="I19" s="6"/>
      <c r="J19" s="6"/>
      <c r="K19" s="6"/>
      <c r="L19" s="6"/>
      <c r="M19" s="6"/>
      <c r="N19" s="6"/>
    </row>
    <row r="20" spans="1:14" ht="26.25" customHeight="1" x14ac:dyDescent="0.25">
      <c r="A20" s="8">
        <v>4</v>
      </c>
      <c r="B20" s="177"/>
      <c r="C20" s="366" t="s">
        <v>724</v>
      </c>
      <c r="D20" s="367"/>
      <c r="E20" s="368"/>
      <c r="F20" s="8">
        <v>43.5</v>
      </c>
      <c r="G20" s="8">
        <v>44.3</v>
      </c>
      <c r="H20" s="6"/>
      <c r="I20" s="6"/>
      <c r="J20" s="6"/>
      <c r="K20" s="6"/>
      <c r="L20" s="6"/>
      <c r="M20" s="6"/>
      <c r="N20" s="6"/>
    </row>
    <row r="21" spans="1:14" ht="26.25" customHeight="1" x14ac:dyDescent="0.25">
      <c r="A21" s="8">
        <v>5</v>
      </c>
      <c r="B21" s="177"/>
      <c r="C21" s="366" t="s">
        <v>725</v>
      </c>
      <c r="D21" s="367"/>
      <c r="E21" s="368"/>
      <c r="F21" s="8">
        <v>55.8</v>
      </c>
      <c r="G21" s="8">
        <v>54.7</v>
      </c>
      <c r="H21" s="6"/>
      <c r="I21" s="6"/>
      <c r="J21" s="6"/>
      <c r="K21" s="6"/>
      <c r="L21" s="6"/>
      <c r="M21" s="6"/>
      <c r="N21" s="6"/>
    </row>
    <row r="22" spans="1:14" ht="26.25" customHeight="1" x14ac:dyDescent="0.25">
      <c r="A22" s="8">
        <v>6</v>
      </c>
      <c r="B22" s="195" t="s">
        <v>728</v>
      </c>
      <c r="C22" s="370" t="s">
        <v>726</v>
      </c>
      <c r="D22" s="371"/>
      <c r="E22" s="372"/>
      <c r="F22" s="8">
        <v>45.6</v>
      </c>
      <c r="G22" s="8">
        <v>46.1</v>
      </c>
      <c r="H22" s="6"/>
      <c r="I22" s="6"/>
      <c r="J22" s="6"/>
      <c r="K22" s="6"/>
      <c r="L22" s="6"/>
      <c r="M22" s="6"/>
      <c r="N22" s="6"/>
    </row>
    <row r="23" spans="1:14" ht="26.25" customHeight="1" x14ac:dyDescent="0.25">
      <c r="A23" s="8">
        <v>7</v>
      </c>
      <c r="B23" s="195"/>
      <c r="C23" s="370" t="s">
        <v>738</v>
      </c>
      <c r="D23" s="371"/>
      <c r="E23" s="372"/>
      <c r="F23" s="8">
        <v>43.5</v>
      </c>
      <c r="G23" s="8">
        <v>44.3</v>
      </c>
      <c r="H23" s="6"/>
      <c r="I23" s="6"/>
      <c r="J23" s="6"/>
      <c r="K23" s="6"/>
      <c r="L23" s="6"/>
      <c r="M23" s="6"/>
      <c r="N23" s="6"/>
    </row>
    <row r="24" spans="1:14" ht="26.25" customHeight="1" x14ac:dyDescent="0.25">
      <c r="A24" s="8">
        <v>8</v>
      </c>
      <c r="B24" s="195"/>
      <c r="C24" s="370" t="s">
        <v>727</v>
      </c>
      <c r="D24" s="371"/>
      <c r="E24" s="372"/>
      <c r="F24" s="8">
        <v>55.8</v>
      </c>
      <c r="G24" s="8">
        <v>54.7</v>
      </c>
      <c r="H24" s="6"/>
      <c r="I24" s="6"/>
      <c r="J24" s="6"/>
      <c r="K24" s="6"/>
      <c r="L24" s="6"/>
      <c r="M24" s="6"/>
      <c r="N24" s="6"/>
    </row>
  </sheetData>
  <mergeCells count="20">
    <mergeCell ref="C22:E22"/>
    <mergeCell ref="C23:E23"/>
    <mergeCell ref="C24:E24"/>
    <mergeCell ref="B16:E16"/>
    <mergeCell ref="A8:N8"/>
    <mergeCell ref="M9:N9"/>
    <mergeCell ref="A9:A13"/>
    <mergeCell ref="A15:N15"/>
    <mergeCell ref="B17:B21"/>
    <mergeCell ref="B22:B24"/>
    <mergeCell ref="C17:E17"/>
    <mergeCell ref="A14:N14"/>
    <mergeCell ref="C18:E18"/>
    <mergeCell ref="C19:E19"/>
    <mergeCell ref="C20:E20"/>
    <mergeCell ref="A1:N1"/>
    <mergeCell ref="C21:E21"/>
    <mergeCell ref="M3:N3"/>
    <mergeCell ref="A2:B2"/>
    <mergeCell ref="A3:A7"/>
  </mergeCell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373E84-812E-496A-88E1-B7713A6E4496}">
  <dimension ref="A1:O8"/>
  <sheetViews>
    <sheetView workbookViewId="0">
      <selection activeCell="U8" sqref="U8"/>
    </sheetView>
  </sheetViews>
  <sheetFormatPr defaultRowHeight="15" x14ac:dyDescent="0.25"/>
  <cols>
    <col min="4" max="7" width="17" customWidth="1"/>
    <col min="13" max="14" width="13.140625" customWidth="1"/>
    <col min="15" max="15" width="13" customWidth="1"/>
  </cols>
  <sheetData>
    <row r="1" spans="1:15" ht="48.75" customHeight="1" x14ac:dyDescent="0.25">
      <c r="A1" s="390" t="s">
        <v>680</v>
      </c>
      <c r="B1" s="390"/>
      <c r="C1" s="390"/>
      <c r="D1" s="390"/>
      <c r="E1" s="390"/>
      <c r="F1" s="390"/>
      <c r="G1" s="390"/>
      <c r="H1" s="390"/>
      <c r="I1" s="390"/>
      <c r="J1" s="390"/>
      <c r="K1" s="390"/>
      <c r="L1" s="390"/>
      <c r="M1" s="390"/>
      <c r="N1" s="390"/>
      <c r="O1" s="390"/>
    </row>
    <row r="2" spans="1:15" ht="71.25" customHeight="1" x14ac:dyDescent="0.25">
      <c r="A2" s="145" t="s">
        <v>118</v>
      </c>
      <c r="B2" s="382" t="s">
        <v>656</v>
      </c>
      <c r="C2" s="382"/>
      <c r="D2" s="382" t="s">
        <v>657</v>
      </c>
      <c r="E2" s="382"/>
      <c r="F2" s="382"/>
      <c r="G2" s="382"/>
      <c r="H2" s="391" t="s">
        <v>658</v>
      </c>
      <c r="I2" s="391"/>
      <c r="J2" s="391"/>
      <c r="K2" s="391"/>
      <c r="L2" s="392"/>
      <c r="M2" s="382" t="s">
        <v>659</v>
      </c>
      <c r="N2" s="393"/>
      <c r="O2" s="145" t="s">
        <v>413</v>
      </c>
    </row>
    <row r="3" spans="1:15" ht="51" customHeight="1" x14ac:dyDescent="0.25">
      <c r="A3" s="383">
        <v>1</v>
      </c>
      <c r="B3" s="382" t="s">
        <v>671</v>
      </c>
      <c r="C3" s="382"/>
      <c r="D3" s="381" t="s">
        <v>672</v>
      </c>
      <c r="E3" s="381"/>
      <c r="F3" s="381"/>
      <c r="G3" s="381"/>
      <c r="H3" s="382"/>
      <c r="I3" s="382"/>
      <c r="J3" s="382"/>
      <c r="K3" s="382"/>
      <c r="L3" s="382"/>
      <c r="M3" s="384" t="s">
        <v>673</v>
      </c>
      <c r="N3" s="385"/>
      <c r="O3" s="388" t="s">
        <v>629</v>
      </c>
    </row>
    <row r="4" spans="1:15" ht="51" customHeight="1" x14ac:dyDescent="0.25">
      <c r="A4" s="383"/>
      <c r="B4" s="382"/>
      <c r="C4" s="382"/>
      <c r="D4" s="381" t="s">
        <v>674</v>
      </c>
      <c r="E4" s="381"/>
      <c r="F4" s="381"/>
      <c r="G4" s="381"/>
      <c r="H4" s="382" t="s">
        <v>675</v>
      </c>
      <c r="I4" s="382"/>
      <c r="J4" s="382"/>
      <c r="K4" s="382"/>
      <c r="L4" s="382"/>
      <c r="M4" s="386"/>
      <c r="N4" s="387"/>
      <c r="O4" s="389"/>
    </row>
    <row r="5" spans="1:15" ht="40.5" customHeight="1" x14ac:dyDescent="0.25">
      <c r="A5" s="383">
        <v>2</v>
      </c>
      <c r="B5" s="382" t="s">
        <v>676</v>
      </c>
      <c r="C5" s="382"/>
      <c r="D5" s="381" t="s">
        <v>677</v>
      </c>
      <c r="E5" s="381"/>
      <c r="F5" s="381"/>
      <c r="G5" s="381"/>
      <c r="H5" s="382"/>
      <c r="I5" s="382"/>
      <c r="J5" s="382"/>
      <c r="K5" s="382"/>
      <c r="L5" s="382"/>
      <c r="M5" s="384" t="s">
        <v>673</v>
      </c>
      <c r="N5" s="385"/>
      <c r="O5" s="388" t="s">
        <v>629</v>
      </c>
    </row>
    <row r="6" spans="1:15" ht="40.5" customHeight="1" x14ac:dyDescent="0.25">
      <c r="A6" s="383"/>
      <c r="B6" s="382"/>
      <c r="C6" s="382"/>
      <c r="D6" s="381" t="s">
        <v>674</v>
      </c>
      <c r="E6" s="381"/>
      <c r="F6" s="381"/>
      <c r="G6" s="381"/>
      <c r="H6" s="382" t="s">
        <v>675</v>
      </c>
      <c r="I6" s="382"/>
      <c r="J6" s="382"/>
      <c r="K6" s="382"/>
      <c r="L6" s="382"/>
      <c r="M6" s="386"/>
      <c r="N6" s="387"/>
      <c r="O6" s="389"/>
    </row>
    <row r="7" spans="1:15" ht="57.75" customHeight="1" x14ac:dyDescent="0.25">
      <c r="A7" s="383">
        <v>3</v>
      </c>
      <c r="B7" s="382" t="s">
        <v>678</v>
      </c>
      <c r="C7" s="382"/>
      <c r="D7" s="381" t="s">
        <v>679</v>
      </c>
      <c r="E7" s="381"/>
      <c r="F7" s="381"/>
      <c r="G7" s="381"/>
      <c r="H7" s="382"/>
      <c r="I7" s="382"/>
      <c r="J7" s="382"/>
      <c r="K7" s="382"/>
      <c r="L7" s="382"/>
      <c r="M7" s="384" t="s">
        <v>673</v>
      </c>
      <c r="N7" s="385"/>
      <c r="O7" s="379" t="s">
        <v>731</v>
      </c>
    </row>
    <row r="8" spans="1:15" ht="57.75" customHeight="1" x14ac:dyDescent="0.25">
      <c r="A8" s="383"/>
      <c r="B8" s="382"/>
      <c r="C8" s="382"/>
      <c r="D8" s="381" t="s">
        <v>674</v>
      </c>
      <c r="E8" s="381"/>
      <c r="F8" s="381"/>
      <c r="G8" s="381"/>
      <c r="H8" s="382" t="s">
        <v>675</v>
      </c>
      <c r="I8" s="382"/>
      <c r="J8" s="382"/>
      <c r="K8" s="382"/>
      <c r="L8" s="382"/>
      <c r="M8" s="386"/>
      <c r="N8" s="387"/>
      <c r="O8" s="380"/>
    </row>
  </sheetData>
  <mergeCells count="29">
    <mergeCell ref="A1:O1"/>
    <mergeCell ref="B2:C2"/>
    <mergeCell ref="D2:G2"/>
    <mergeCell ref="H2:L2"/>
    <mergeCell ref="M2:N2"/>
    <mergeCell ref="O3:O4"/>
    <mergeCell ref="D4:G4"/>
    <mergeCell ref="H4:L4"/>
    <mergeCell ref="A5:A6"/>
    <mergeCell ref="B5:C6"/>
    <mergeCell ref="D5:G5"/>
    <mergeCell ref="H5:L5"/>
    <mergeCell ref="M5:N6"/>
    <mergeCell ref="O5:O6"/>
    <mergeCell ref="D6:G6"/>
    <mergeCell ref="A3:A4"/>
    <mergeCell ref="B3:C4"/>
    <mergeCell ref="D3:G3"/>
    <mergeCell ref="H3:L3"/>
    <mergeCell ref="M3:N4"/>
    <mergeCell ref="O7:O8"/>
    <mergeCell ref="D8:G8"/>
    <mergeCell ref="H8:L8"/>
    <mergeCell ref="H6:L6"/>
    <mergeCell ref="A7:A8"/>
    <mergeCell ref="B7:C8"/>
    <mergeCell ref="D7:G7"/>
    <mergeCell ref="H7:L7"/>
    <mergeCell ref="M7:N8"/>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F80AD9-CDCB-4FE9-A790-B309BAB9F2E0}">
  <dimension ref="A1:O6"/>
  <sheetViews>
    <sheetView workbookViewId="0">
      <selection activeCell="M12" sqref="M12"/>
    </sheetView>
  </sheetViews>
  <sheetFormatPr defaultRowHeight="15" x14ac:dyDescent="0.25"/>
  <cols>
    <col min="2" max="3" width="14.42578125" customWidth="1"/>
    <col min="4" max="7" width="14" customWidth="1"/>
    <col min="13" max="14" width="11" customWidth="1"/>
    <col min="15" max="15" width="25.5703125" customWidth="1"/>
  </cols>
  <sheetData>
    <row r="1" spans="1:15" ht="65.25" customHeight="1" x14ac:dyDescent="0.25">
      <c r="A1" s="390" t="s">
        <v>655</v>
      </c>
      <c r="B1" s="390"/>
      <c r="C1" s="390"/>
      <c r="D1" s="390"/>
      <c r="E1" s="390"/>
      <c r="F1" s="390"/>
      <c r="G1" s="390"/>
      <c r="H1" s="390"/>
      <c r="I1" s="390"/>
      <c r="J1" s="390"/>
      <c r="K1" s="390"/>
      <c r="L1" s="390"/>
      <c r="M1" s="390"/>
      <c r="N1" s="390"/>
      <c r="O1" s="390"/>
    </row>
    <row r="2" spans="1:15" ht="48.75" customHeight="1" x14ac:dyDescent="0.25">
      <c r="A2" s="145" t="s">
        <v>118</v>
      </c>
      <c r="B2" s="382" t="s">
        <v>656</v>
      </c>
      <c r="C2" s="382"/>
      <c r="D2" s="382" t="s">
        <v>657</v>
      </c>
      <c r="E2" s="382"/>
      <c r="F2" s="382"/>
      <c r="G2" s="382"/>
      <c r="H2" s="391" t="s">
        <v>658</v>
      </c>
      <c r="I2" s="391"/>
      <c r="J2" s="391"/>
      <c r="K2" s="391"/>
      <c r="L2" s="392"/>
      <c r="M2" s="382" t="s">
        <v>659</v>
      </c>
      <c r="N2" s="382"/>
      <c r="O2" s="146" t="s">
        <v>413</v>
      </c>
    </row>
    <row r="3" spans="1:15" ht="93" customHeight="1" x14ac:dyDescent="0.25">
      <c r="A3" s="97">
        <v>1</v>
      </c>
      <c r="B3" s="393" t="s">
        <v>660</v>
      </c>
      <c r="C3" s="392"/>
      <c r="D3" s="394" t="s">
        <v>661</v>
      </c>
      <c r="E3" s="395"/>
      <c r="F3" s="395"/>
      <c r="G3" s="396"/>
      <c r="H3" s="393" t="s">
        <v>662</v>
      </c>
      <c r="I3" s="391"/>
      <c r="J3" s="391"/>
      <c r="K3" s="391"/>
      <c r="L3" s="392"/>
      <c r="M3" s="397">
        <v>1</v>
      </c>
      <c r="N3" s="398"/>
      <c r="O3" s="147" t="s">
        <v>670</v>
      </c>
    </row>
    <row r="4" spans="1:15" ht="108" customHeight="1" x14ac:dyDescent="0.25">
      <c r="A4" s="97">
        <v>2</v>
      </c>
      <c r="B4" s="393" t="s">
        <v>663</v>
      </c>
      <c r="C4" s="392"/>
      <c r="D4" s="394" t="s">
        <v>664</v>
      </c>
      <c r="E4" s="395"/>
      <c r="F4" s="395"/>
      <c r="G4" s="396"/>
      <c r="H4" s="393" t="s">
        <v>662</v>
      </c>
      <c r="I4" s="391"/>
      <c r="J4" s="391"/>
      <c r="K4" s="391"/>
      <c r="L4" s="392"/>
      <c r="M4" s="397">
        <v>1</v>
      </c>
      <c r="N4" s="398"/>
      <c r="O4" s="147" t="s">
        <v>670</v>
      </c>
    </row>
    <row r="5" spans="1:15" ht="92.25" customHeight="1" x14ac:dyDescent="0.25">
      <c r="A5" s="148">
        <v>3</v>
      </c>
      <c r="B5" s="393" t="s">
        <v>665</v>
      </c>
      <c r="C5" s="392"/>
      <c r="D5" s="394" t="s">
        <v>666</v>
      </c>
      <c r="E5" s="395"/>
      <c r="F5" s="395"/>
      <c r="G5" s="396"/>
      <c r="H5" s="393" t="s">
        <v>667</v>
      </c>
      <c r="I5" s="391"/>
      <c r="J5" s="391"/>
      <c r="K5" s="391"/>
      <c r="L5" s="392"/>
      <c r="M5" s="397">
        <v>1</v>
      </c>
      <c r="N5" s="398"/>
      <c r="O5" s="147" t="s">
        <v>670</v>
      </c>
    </row>
    <row r="6" spans="1:15" ht="66.75" customHeight="1" x14ac:dyDescent="0.25">
      <c r="A6" s="148">
        <v>4</v>
      </c>
      <c r="B6" s="393" t="s">
        <v>668</v>
      </c>
      <c r="C6" s="392"/>
      <c r="D6" s="394" t="s">
        <v>669</v>
      </c>
      <c r="E6" s="395"/>
      <c r="F6" s="395"/>
      <c r="G6" s="396"/>
      <c r="H6" s="393" t="s">
        <v>669</v>
      </c>
      <c r="I6" s="391"/>
      <c r="J6" s="391"/>
      <c r="K6" s="391"/>
      <c r="L6" s="392"/>
      <c r="M6" s="397">
        <v>1</v>
      </c>
      <c r="N6" s="398"/>
      <c r="O6" s="147" t="s">
        <v>670</v>
      </c>
    </row>
  </sheetData>
  <mergeCells count="21">
    <mergeCell ref="B3:C3"/>
    <mergeCell ref="D3:G3"/>
    <mergeCell ref="H3:L3"/>
    <mergeCell ref="M3:N3"/>
    <mergeCell ref="A1:O1"/>
    <mergeCell ref="B2:C2"/>
    <mergeCell ref="D2:G2"/>
    <mergeCell ref="H2:L2"/>
    <mergeCell ref="M2:N2"/>
    <mergeCell ref="B6:C6"/>
    <mergeCell ref="D6:G6"/>
    <mergeCell ref="H6:L6"/>
    <mergeCell ref="M6:N6"/>
    <mergeCell ref="B4:C4"/>
    <mergeCell ref="D4:G4"/>
    <mergeCell ref="H4:L4"/>
    <mergeCell ref="M4:N4"/>
    <mergeCell ref="B5:C5"/>
    <mergeCell ref="D5:G5"/>
    <mergeCell ref="H5:L5"/>
    <mergeCell ref="M5:N5"/>
  </mergeCell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3F2588-5CF8-4325-AD75-FF8C6ECB1BE8}">
  <dimension ref="A1:N31"/>
  <sheetViews>
    <sheetView topLeftCell="A13" workbookViewId="0">
      <selection activeCell="E13" sqref="E13"/>
    </sheetView>
  </sheetViews>
  <sheetFormatPr defaultRowHeight="15" x14ac:dyDescent="0.25"/>
  <cols>
    <col min="1" max="1" width="9.140625" style="6"/>
    <col min="2" max="2" width="25.85546875" style="21" customWidth="1"/>
    <col min="3" max="3" width="10.42578125" style="6" customWidth="1"/>
    <col min="4" max="4" width="17.140625" style="6" customWidth="1"/>
    <col min="5" max="5" width="10.5703125" style="6" customWidth="1"/>
    <col min="6" max="6" width="35" style="6" customWidth="1"/>
    <col min="7" max="9" width="9.140625" style="6"/>
    <col min="10" max="10" width="5" style="6" customWidth="1"/>
    <col min="11" max="11" width="30.85546875" style="6" customWidth="1"/>
    <col min="12" max="16384" width="9.140625" style="6"/>
  </cols>
  <sheetData>
    <row r="1" spans="1:14" x14ac:dyDescent="0.25">
      <c r="A1" s="6" t="s">
        <v>118</v>
      </c>
      <c r="B1" s="6" t="s">
        <v>119</v>
      </c>
      <c r="C1" s="6" t="s">
        <v>123</v>
      </c>
      <c r="D1" s="6" t="s">
        <v>127</v>
      </c>
      <c r="E1" s="6" t="s">
        <v>128</v>
      </c>
      <c r="F1" s="6" t="s">
        <v>131</v>
      </c>
    </row>
    <row r="2" spans="1:14" ht="41.25" customHeight="1" x14ac:dyDescent="0.25">
      <c r="A2" s="6">
        <v>1</v>
      </c>
      <c r="B2" s="21" t="s">
        <v>120</v>
      </c>
      <c r="C2" s="6" t="s">
        <v>124</v>
      </c>
      <c r="E2" s="6" t="s">
        <v>130</v>
      </c>
      <c r="K2" s="26" t="s">
        <v>134</v>
      </c>
      <c r="L2" s="6" t="s">
        <v>135</v>
      </c>
      <c r="N2" s="6" t="s">
        <v>132</v>
      </c>
    </row>
    <row r="3" spans="1:14" ht="75" customHeight="1" x14ac:dyDescent="0.25">
      <c r="A3" s="6">
        <v>2</v>
      </c>
      <c r="B3" s="21" t="s">
        <v>121</v>
      </c>
      <c r="C3" s="6" t="s">
        <v>125</v>
      </c>
      <c r="E3" s="6" t="s">
        <v>130</v>
      </c>
      <c r="K3" s="21" t="s">
        <v>136</v>
      </c>
      <c r="L3" s="6" t="s">
        <v>137</v>
      </c>
      <c r="M3" s="6">
        <v>2</v>
      </c>
      <c r="N3" s="6" t="s">
        <v>132</v>
      </c>
    </row>
    <row r="4" spans="1:14" ht="39" customHeight="1" x14ac:dyDescent="0.25">
      <c r="A4" s="6">
        <v>3</v>
      </c>
      <c r="B4" s="21" t="s">
        <v>122</v>
      </c>
      <c r="C4" s="6" t="s">
        <v>126</v>
      </c>
      <c r="D4" s="6">
        <v>0.3</v>
      </c>
      <c r="E4" s="6" t="s">
        <v>152</v>
      </c>
      <c r="F4" s="6" t="s">
        <v>129</v>
      </c>
      <c r="K4" s="21" t="s">
        <v>138</v>
      </c>
      <c r="L4" s="6" t="s">
        <v>140</v>
      </c>
    </row>
    <row r="5" spans="1:14" ht="39" customHeight="1" x14ac:dyDescent="0.25">
      <c r="A5" s="6">
        <v>4</v>
      </c>
      <c r="B5" s="26" t="s">
        <v>167</v>
      </c>
      <c r="C5" s="6" t="s">
        <v>166</v>
      </c>
      <c r="D5" s="6">
        <v>250</v>
      </c>
      <c r="E5" s="6" t="s">
        <v>173</v>
      </c>
      <c r="F5" s="26"/>
      <c r="K5" s="21" t="s">
        <v>139</v>
      </c>
      <c r="L5" s="6" t="s">
        <v>141</v>
      </c>
    </row>
    <row r="6" spans="1:14" ht="39" customHeight="1" x14ac:dyDescent="0.25">
      <c r="B6" s="26" t="s">
        <v>168</v>
      </c>
      <c r="C6" s="6" t="s">
        <v>172</v>
      </c>
      <c r="D6" s="6">
        <v>220</v>
      </c>
      <c r="E6" s="6" t="s">
        <v>173</v>
      </c>
      <c r="F6" s="26"/>
      <c r="K6" s="21"/>
    </row>
    <row r="7" spans="1:14" ht="39" customHeight="1" x14ac:dyDescent="0.25">
      <c r="B7" s="26" t="s">
        <v>169</v>
      </c>
      <c r="C7" s="6" t="s">
        <v>171</v>
      </c>
      <c r="D7" s="6">
        <v>150</v>
      </c>
      <c r="E7" s="6" t="s">
        <v>173</v>
      </c>
      <c r="F7" s="26"/>
      <c r="K7" s="21"/>
    </row>
    <row r="8" spans="1:14" ht="39" customHeight="1" x14ac:dyDescent="0.25">
      <c r="B8" s="26" t="s">
        <v>157</v>
      </c>
      <c r="C8" s="6" t="s">
        <v>49</v>
      </c>
      <c r="D8" s="6">
        <v>5</v>
      </c>
      <c r="E8" s="6" t="s">
        <v>151</v>
      </c>
      <c r="F8" s="26" t="s">
        <v>133</v>
      </c>
      <c r="K8" s="21"/>
    </row>
    <row r="9" spans="1:14" ht="37.5" customHeight="1" x14ac:dyDescent="0.25">
      <c r="A9" s="6">
        <v>5</v>
      </c>
      <c r="B9" s="26" t="s">
        <v>156</v>
      </c>
      <c r="C9" s="6" t="s">
        <v>149</v>
      </c>
      <c r="D9" s="6">
        <v>0.5</v>
      </c>
      <c r="E9" s="6" t="s">
        <v>150</v>
      </c>
      <c r="K9" s="21" t="s">
        <v>145</v>
      </c>
      <c r="L9" s="6" t="s">
        <v>146</v>
      </c>
      <c r="N9" s="6" t="s">
        <v>132</v>
      </c>
    </row>
    <row r="10" spans="1:14" ht="37.5" customHeight="1" x14ac:dyDescent="0.25">
      <c r="A10" s="6">
        <v>6</v>
      </c>
      <c r="B10" s="26" t="s">
        <v>155</v>
      </c>
      <c r="C10" s="6" t="s">
        <v>153</v>
      </c>
      <c r="D10" s="6">
        <f>D8*D9</f>
        <v>2.5</v>
      </c>
      <c r="E10" s="6" t="s">
        <v>154</v>
      </c>
      <c r="F10" s="6" t="s">
        <v>158</v>
      </c>
      <c r="K10" s="21" t="s">
        <v>147</v>
      </c>
      <c r="L10" s="6" t="s">
        <v>148</v>
      </c>
      <c r="N10" s="6" t="s">
        <v>132</v>
      </c>
    </row>
    <row r="11" spans="1:14" ht="24" customHeight="1" x14ac:dyDescent="0.25">
      <c r="A11" s="6">
        <v>7</v>
      </c>
      <c r="B11" s="21" t="s">
        <v>159</v>
      </c>
      <c r="C11" s="6" t="s">
        <v>160</v>
      </c>
      <c r="D11" s="6">
        <v>65</v>
      </c>
      <c r="E11" s="6" t="s">
        <v>161</v>
      </c>
    </row>
    <row r="12" spans="1:14" ht="34.5" customHeight="1" x14ac:dyDescent="0.25">
      <c r="A12" s="6">
        <v>8</v>
      </c>
      <c r="B12" s="21" t="s">
        <v>162</v>
      </c>
      <c r="C12" s="6" t="s">
        <v>163</v>
      </c>
      <c r="D12" s="27">
        <f>ROUNDUP((D10*100/D11),2)</f>
        <v>3.8499999999999996</v>
      </c>
      <c r="E12" s="6" t="s">
        <v>154</v>
      </c>
      <c r="F12" s="6" t="s">
        <v>164</v>
      </c>
    </row>
    <row r="13" spans="1:14" ht="87.75" customHeight="1" x14ac:dyDescent="0.25">
      <c r="A13" s="6">
        <v>9</v>
      </c>
      <c r="B13" s="26" t="s">
        <v>174</v>
      </c>
      <c r="C13" s="6" t="s">
        <v>165</v>
      </c>
      <c r="D13" s="6">
        <f>'Tụ hóa đầu vào'!D8</f>
        <v>178.91222920256962</v>
      </c>
      <c r="E13" s="6" t="s">
        <v>151</v>
      </c>
    </row>
    <row r="14" spans="1:14" x14ac:dyDescent="0.25">
      <c r="A14" s="6">
        <v>10</v>
      </c>
      <c r="B14" s="21" t="s">
        <v>175</v>
      </c>
      <c r="C14" s="6" t="s">
        <v>179</v>
      </c>
      <c r="D14" s="6">
        <v>55000</v>
      </c>
      <c r="E14" s="6" t="s">
        <v>176</v>
      </c>
    </row>
    <row r="15" spans="1:14" ht="130.5" customHeight="1" x14ac:dyDescent="0.25">
      <c r="A15" s="6">
        <v>11</v>
      </c>
      <c r="B15" s="21" t="s">
        <v>177</v>
      </c>
      <c r="C15" s="6" t="s">
        <v>178</v>
      </c>
      <c r="D15" s="6">
        <v>0.5</v>
      </c>
      <c r="E15" s="28" t="s">
        <v>180</v>
      </c>
      <c r="F15" s="20" t="s">
        <v>181</v>
      </c>
    </row>
    <row r="16" spans="1:14" ht="117.75" customHeight="1" x14ac:dyDescent="0.25">
      <c r="B16" s="21" t="s">
        <v>184</v>
      </c>
      <c r="C16" s="6" t="s">
        <v>185</v>
      </c>
      <c r="D16" s="6">
        <v>0.08</v>
      </c>
      <c r="E16" s="28"/>
      <c r="F16" s="20"/>
    </row>
    <row r="17" spans="1:5" ht="71.25" customHeight="1" x14ac:dyDescent="0.25">
      <c r="A17" s="6">
        <v>12</v>
      </c>
      <c r="B17" s="21" t="s">
        <v>182</v>
      </c>
      <c r="C17" s="6" t="s">
        <v>183</v>
      </c>
      <c r="D17" s="6">
        <f>(D13*D13*D16*D16)/(2*D12*D14*D15)*1000</f>
        <v>0.96746799930432115</v>
      </c>
      <c r="E17" s="6" t="s">
        <v>235</v>
      </c>
    </row>
    <row r="18" spans="1:5" x14ac:dyDescent="0.25">
      <c r="A18" s="6">
        <v>13</v>
      </c>
    </row>
    <row r="19" spans="1:5" x14ac:dyDescent="0.25">
      <c r="A19" s="6">
        <v>14</v>
      </c>
    </row>
    <row r="20" spans="1:5" x14ac:dyDescent="0.25">
      <c r="A20" s="6">
        <v>15</v>
      </c>
    </row>
    <row r="21" spans="1:5" x14ac:dyDescent="0.25">
      <c r="A21" s="6">
        <v>16</v>
      </c>
    </row>
    <row r="22" spans="1:5" x14ac:dyDescent="0.25">
      <c r="A22" s="6">
        <v>17</v>
      </c>
    </row>
    <row r="23" spans="1:5" x14ac:dyDescent="0.25">
      <c r="A23" s="6">
        <v>18</v>
      </c>
    </row>
    <row r="24" spans="1:5" x14ac:dyDescent="0.25">
      <c r="A24" s="6">
        <v>19</v>
      </c>
    </row>
    <row r="25" spans="1:5" x14ac:dyDescent="0.25">
      <c r="A25" s="6">
        <v>20</v>
      </c>
    </row>
    <row r="26" spans="1:5" x14ac:dyDescent="0.25">
      <c r="A26" s="6">
        <v>21</v>
      </c>
    </row>
    <row r="27" spans="1:5" x14ac:dyDescent="0.25">
      <c r="A27" s="6">
        <v>22</v>
      </c>
    </row>
    <row r="28" spans="1:5" x14ac:dyDescent="0.25">
      <c r="A28" s="6">
        <v>23</v>
      </c>
      <c r="B28" s="21" t="s">
        <v>142</v>
      </c>
    </row>
    <row r="29" spans="1:5" x14ac:dyDescent="0.25">
      <c r="A29" s="6">
        <v>24</v>
      </c>
      <c r="B29" s="21" t="s">
        <v>143</v>
      </c>
    </row>
    <row r="30" spans="1:5" x14ac:dyDescent="0.25">
      <c r="A30" s="6">
        <v>25</v>
      </c>
      <c r="B30" s="21" t="s">
        <v>144</v>
      </c>
    </row>
    <row r="31" spans="1:5" x14ac:dyDescent="0.25">
      <c r="A31" s="6">
        <v>26</v>
      </c>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81169D-2CC5-44F2-B792-6DCAAC4BC9AD}">
  <dimension ref="A1:L50"/>
  <sheetViews>
    <sheetView zoomScale="115" zoomScaleNormal="115" workbookViewId="0">
      <selection activeCell="D34" sqref="D34"/>
    </sheetView>
  </sheetViews>
  <sheetFormatPr defaultRowHeight="15" x14ac:dyDescent="0.25"/>
  <cols>
    <col min="2" max="2" width="24" style="32" bestFit="1" customWidth="1"/>
    <col min="3" max="3" width="10.42578125" bestFit="1" customWidth="1"/>
    <col min="4" max="4" width="12.7109375" customWidth="1"/>
    <col min="6" max="6" width="15.85546875" customWidth="1"/>
    <col min="8" max="8" width="13.5703125" bestFit="1" customWidth="1"/>
  </cols>
  <sheetData>
    <row r="1" spans="2:2" x14ac:dyDescent="0.25">
      <c r="B1"/>
    </row>
    <row r="2" spans="2:2" x14ac:dyDescent="0.25">
      <c r="B2"/>
    </row>
    <row r="3" spans="2:2" x14ac:dyDescent="0.25">
      <c r="B3"/>
    </row>
    <row r="4" spans="2:2" x14ac:dyDescent="0.25">
      <c r="B4"/>
    </row>
    <row r="5" spans="2:2" x14ac:dyDescent="0.25">
      <c r="B5"/>
    </row>
    <row r="6" spans="2:2" x14ac:dyDescent="0.25">
      <c r="B6"/>
    </row>
    <row r="7" spans="2:2" x14ac:dyDescent="0.25">
      <c r="B7"/>
    </row>
    <row r="8" spans="2:2" x14ac:dyDescent="0.25">
      <c r="B8"/>
    </row>
    <row r="9" spans="2:2" x14ac:dyDescent="0.25">
      <c r="B9"/>
    </row>
    <row r="10" spans="2:2" x14ac:dyDescent="0.25">
      <c r="B10"/>
    </row>
    <row r="11" spans="2:2" x14ac:dyDescent="0.25">
      <c r="B11"/>
    </row>
    <row r="12" spans="2:2" x14ac:dyDescent="0.25">
      <c r="B12"/>
    </row>
    <row r="13" spans="2:2" ht="12" customHeight="1" x14ac:dyDescent="0.25">
      <c r="B13"/>
    </row>
    <row r="14" spans="2:2" x14ac:dyDescent="0.25">
      <c r="B14"/>
    </row>
    <row r="15" spans="2:2" x14ac:dyDescent="0.25">
      <c r="B15"/>
    </row>
    <row r="16" spans="2:2" x14ac:dyDescent="0.25">
      <c r="B16"/>
    </row>
    <row r="17" spans="1:12" x14ac:dyDescent="0.25">
      <c r="B17"/>
    </row>
    <row r="18" spans="1:12" x14ac:dyDescent="0.25">
      <c r="B18"/>
    </row>
    <row r="19" spans="1:12" x14ac:dyDescent="0.25">
      <c r="B19"/>
    </row>
    <row r="20" spans="1:12" x14ac:dyDescent="0.25">
      <c r="B20"/>
    </row>
    <row r="21" spans="1:12" x14ac:dyDescent="0.25">
      <c r="B21"/>
    </row>
    <row r="22" spans="1:12" x14ac:dyDescent="0.25">
      <c r="B22"/>
    </row>
    <row r="23" spans="1:12" x14ac:dyDescent="0.25">
      <c r="B23"/>
    </row>
    <row r="24" spans="1:12" x14ac:dyDescent="0.25">
      <c r="B24"/>
    </row>
    <row r="25" spans="1:12" x14ac:dyDescent="0.25">
      <c r="B25"/>
    </row>
    <row r="26" spans="1:12" s="6" customFormat="1" x14ac:dyDescent="0.25">
      <c r="A26"/>
      <c r="B26"/>
      <c r="C26"/>
      <c r="D26"/>
      <c r="E26"/>
      <c r="F26"/>
      <c r="G26"/>
      <c r="H26"/>
      <c r="I26"/>
      <c r="J26"/>
      <c r="K26"/>
      <c r="L26"/>
    </row>
    <row r="27" spans="1:12" s="6" customFormat="1" x14ac:dyDescent="0.25">
      <c r="A27"/>
      <c r="B27"/>
      <c r="C27"/>
      <c r="D27"/>
      <c r="E27"/>
      <c r="F27"/>
      <c r="G27"/>
      <c r="H27"/>
      <c r="I27"/>
      <c r="J27"/>
      <c r="K27"/>
      <c r="L27"/>
    </row>
    <row r="28" spans="1:12" s="6" customFormat="1" x14ac:dyDescent="0.25">
      <c r="A28"/>
      <c r="B28"/>
      <c r="C28"/>
      <c r="D28"/>
      <c r="E28"/>
      <c r="F28"/>
      <c r="G28"/>
      <c r="H28"/>
      <c r="I28"/>
      <c r="J28"/>
      <c r="K28"/>
      <c r="L28"/>
    </row>
    <row r="29" spans="1:12" s="6" customFormat="1" x14ac:dyDescent="0.25">
      <c r="A29"/>
      <c r="B29"/>
      <c r="C29"/>
      <c r="D29"/>
      <c r="E29"/>
      <c r="F29"/>
      <c r="G29"/>
      <c r="H29"/>
      <c r="I29"/>
      <c r="J29"/>
      <c r="K29"/>
      <c r="L29"/>
    </row>
    <row r="30" spans="1:12" s="6" customFormat="1" x14ac:dyDescent="0.25">
      <c r="A30"/>
      <c r="B30"/>
      <c r="C30"/>
      <c r="D30"/>
      <c r="E30"/>
      <c r="F30"/>
      <c r="G30"/>
      <c r="H30"/>
      <c r="I30"/>
      <c r="J30"/>
      <c r="K30"/>
      <c r="L30"/>
    </row>
    <row r="31" spans="1:12" s="6" customFormat="1" x14ac:dyDescent="0.25">
      <c r="A31"/>
      <c r="B31"/>
      <c r="C31"/>
      <c r="D31"/>
      <c r="E31"/>
      <c r="F31"/>
      <c r="G31"/>
      <c r="H31"/>
      <c r="I31"/>
      <c r="J31"/>
      <c r="K31"/>
      <c r="L31"/>
    </row>
    <row r="32" spans="1:12" s="6" customFormat="1" x14ac:dyDescent="0.25">
      <c r="A32"/>
      <c r="B32"/>
      <c r="C32"/>
      <c r="D32"/>
      <c r="E32"/>
      <c r="F32"/>
      <c r="G32"/>
      <c r="H32"/>
      <c r="I32"/>
      <c r="J32"/>
      <c r="K32"/>
      <c r="L32"/>
    </row>
    <row r="33" spans="1:12" s="6" customFormat="1" x14ac:dyDescent="0.25">
      <c r="A33"/>
      <c r="B33"/>
      <c r="C33"/>
      <c r="D33"/>
      <c r="E33"/>
      <c r="F33"/>
      <c r="G33"/>
      <c r="H33"/>
      <c r="I33"/>
      <c r="J33"/>
      <c r="K33"/>
      <c r="L33"/>
    </row>
    <row r="34" spans="1:12" s="6" customFormat="1" x14ac:dyDescent="0.25">
      <c r="A34"/>
      <c r="B34"/>
      <c r="C34"/>
      <c r="D34"/>
      <c r="E34"/>
      <c r="F34"/>
      <c r="G34"/>
      <c r="H34"/>
      <c r="I34"/>
      <c r="J34"/>
      <c r="K34"/>
      <c r="L34"/>
    </row>
    <row r="35" spans="1:12" s="6" customFormat="1" x14ac:dyDescent="0.25">
      <c r="A35"/>
      <c r="B35"/>
      <c r="C35"/>
      <c r="D35"/>
      <c r="E35"/>
      <c r="F35"/>
      <c r="G35"/>
      <c r="H35"/>
      <c r="I35"/>
      <c r="J35"/>
      <c r="K35"/>
      <c r="L35"/>
    </row>
    <row r="36" spans="1:12" x14ac:dyDescent="0.25">
      <c r="B36"/>
    </row>
    <row r="37" spans="1:12" x14ac:dyDescent="0.25">
      <c r="B37"/>
    </row>
    <row r="38" spans="1:12" x14ac:dyDescent="0.25">
      <c r="B38"/>
    </row>
    <row r="39" spans="1:12" x14ac:dyDescent="0.25">
      <c r="B39"/>
    </row>
    <row r="40" spans="1:12" x14ac:dyDescent="0.25">
      <c r="B40"/>
    </row>
    <row r="41" spans="1:12" x14ac:dyDescent="0.25">
      <c r="B41"/>
    </row>
    <row r="42" spans="1:12" x14ac:dyDescent="0.25">
      <c r="B42"/>
    </row>
    <row r="43" spans="1:12" x14ac:dyDescent="0.25">
      <c r="B43"/>
    </row>
    <row r="44" spans="1:12" x14ac:dyDescent="0.25">
      <c r="B44"/>
    </row>
    <row r="45" spans="1:12" x14ac:dyDescent="0.25">
      <c r="B45"/>
    </row>
    <row r="46" spans="1:12" x14ac:dyDescent="0.25">
      <c r="B46"/>
    </row>
    <row r="47" spans="1:12" x14ac:dyDescent="0.25">
      <c r="B47"/>
    </row>
    <row r="48" spans="1:12" x14ac:dyDescent="0.25">
      <c r="B48"/>
    </row>
    <row r="49" spans="2:2" x14ac:dyDescent="0.25">
      <c r="B49"/>
    </row>
    <row r="50" spans="2:2" x14ac:dyDescent="0.25">
      <c r="B50"/>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72717B-2CD9-4F16-B4D3-25135C769650}">
  <dimension ref="A1:F16"/>
  <sheetViews>
    <sheetView workbookViewId="0">
      <selection activeCell="E11" sqref="E11"/>
    </sheetView>
  </sheetViews>
  <sheetFormatPr defaultRowHeight="15" x14ac:dyDescent="0.25"/>
  <cols>
    <col min="1" max="1" width="9.140625" style="6"/>
    <col min="2" max="2" width="22.28515625" style="21" customWidth="1"/>
    <col min="3" max="3" width="31" style="21" customWidth="1"/>
    <col min="4" max="4" width="60.28515625" style="26" customWidth="1"/>
    <col min="5" max="5" width="55.5703125" style="21" customWidth="1"/>
  </cols>
  <sheetData>
    <row r="1" spans="1:6" ht="36" customHeight="1" x14ac:dyDescent="0.25">
      <c r="A1" s="407" t="s">
        <v>456</v>
      </c>
      <c r="B1" s="407"/>
      <c r="C1" s="407"/>
      <c r="D1" s="407"/>
      <c r="E1" s="407"/>
      <c r="F1" s="407"/>
    </row>
    <row r="2" spans="1:6" s="29" customFormat="1" ht="24.75" customHeight="1" x14ac:dyDescent="0.25">
      <c r="A2" s="71" t="s">
        <v>118</v>
      </c>
      <c r="B2" s="71" t="s">
        <v>414</v>
      </c>
      <c r="C2" s="408" t="s">
        <v>451</v>
      </c>
      <c r="D2" s="409"/>
      <c r="E2" s="71" t="s">
        <v>450</v>
      </c>
      <c r="F2" s="76" t="s">
        <v>413</v>
      </c>
    </row>
    <row r="3" spans="1:6" ht="48.75" customHeight="1" x14ac:dyDescent="0.25">
      <c r="A3" s="404">
        <v>1</v>
      </c>
      <c r="B3" s="401" t="s">
        <v>452</v>
      </c>
      <c r="C3" s="401" t="s">
        <v>453</v>
      </c>
      <c r="D3" s="66" t="s">
        <v>461</v>
      </c>
      <c r="E3" s="410" t="s">
        <v>462</v>
      </c>
      <c r="F3" s="414" t="s">
        <v>417</v>
      </c>
    </row>
    <row r="4" spans="1:6" ht="42.75" customHeight="1" x14ac:dyDescent="0.25">
      <c r="A4" s="405"/>
      <c r="B4" s="402"/>
      <c r="C4" s="402"/>
      <c r="D4" s="66" t="s">
        <v>458</v>
      </c>
      <c r="E4" s="411"/>
      <c r="F4" s="414"/>
    </row>
    <row r="5" spans="1:6" ht="33.75" customHeight="1" x14ac:dyDescent="0.25">
      <c r="A5" s="405"/>
      <c r="B5" s="402"/>
      <c r="C5" s="403"/>
      <c r="D5" s="66" t="s">
        <v>454</v>
      </c>
      <c r="E5" s="65" t="s">
        <v>457</v>
      </c>
      <c r="F5" s="414"/>
    </row>
    <row r="6" spans="1:6" ht="50.25" customHeight="1" x14ac:dyDescent="0.25">
      <c r="A6" s="405"/>
      <c r="B6" s="402"/>
      <c r="C6" s="49" t="s">
        <v>455</v>
      </c>
      <c r="D6" s="66" t="s">
        <v>463</v>
      </c>
      <c r="E6" s="66" t="s">
        <v>464</v>
      </c>
      <c r="F6" s="414"/>
    </row>
    <row r="7" spans="1:6" ht="81.75" customHeight="1" x14ac:dyDescent="0.25">
      <c r="A7" s="406"/>
      <c r="B7" s="403"/>
      <c r="C7" s="49" t="s">
        <v>459</v>
      </c>
      <c r="D7" s="66" t="s">
        <v>460</v>
      </c>
      <c r="E7" s="66" t="s">
        <v>465</v>
      </c>
      <c r="F7" s="414"/>
    </row>
    <row r="8" spans="1:6" ht="35.25" customHeight="1" x14ac:dyDescent="0.25">
      <c r="A8" s="404">
        <v>2</v>
      </c>
      <c r="B8" s="401" t="s">
        <v>415</v>
      </c>
      <c r="C8" s="399" t="s">
        <v>467</v>
      </c>
      <c r="D8" s="400"/>
      <c r="E8" s="65"/>
      <c r="F8" s="414"/>
    </row>
    <row r="9" spans="1:6" ht="39.75" customHeight="1" x14ac:dyDescent="0.25">
      <c r="A9" s="405"/>
      <c r="B9" s="402"/>
      <c r="C9" s="399" t="s">
        <v>469</v>
      </c>
      <c r="D9" s="400"/>
      <c r="E9" s="65"/>
      <c r="F9" s="414"/>
    </row>
    <row r="10" spans="1:6" ht="35.25" customHeight="1" x14ac:dyDescent="0.25">
      <c r="A10" s="405"/>
      <c r="B10" s="402"/>
      <c r="C10" s="399" t="s">
        <v>470</v>
      </c>
      <c r="D10" s="400"/>
      <c r="E10" s="65"/>
      <c r="F10" s="414"/>
    </row>
    <row r="11" spans="1:6" ht="35.25" customHeight="1" x14ac:dyDescent="0.25">
      <c r="A11" s="405"/>
      <c r="B11" s="402"/>
      <c r="C11" s="399" t="s">
        <v>471</v>
      </c>
      <c r="D11" s="400"/>
      <c r="E11" s="65"/>
      <c r="F11" s="414"/>
    </row>
    <row r="12" spans="1:6" ht="35.25" customHeight="1" x14ac:dyDescent="0.25">
      <c r="A12" s="405"/>
      <c r="B12" s="402"/>
      <c r="C12" s="412" t="s">
        <v>472</v>
      </c>
      <c r="D12" s="413"/>
      <c r="E12" s="65"/>
      <c r="F12" s="414"/>
    </row>
    <row r="13" spans="1:6" ht="35.25" customHeight="1" x14ac:dyDescent="0.25">
      <c r="A13" s="405"/>
      <c r="B13" s="402"/>
      <c r="C13" s="412" t="s">
        <v>473</v>
      </c>
      <c r="D13" s="413"/>
      <c r="E13" s="65"/>
      <c r="F13" s="414"/>
    </row>
    <row r="14" spans="1:6" ht="50.25" customHeight="1" x14ac:dyDescent="0.25">
      <c r="A14" s="406"/>
      <c r="B14" s="403"/>
      <c r="C14" s="412" t="s">
        <v>474</v>
      </c>
      <c r="D14" s="413"/>
      <c r="E14" s="65"/>
      <c r="F14" s="414"/>
    </row>
    <row r="15" spans="1:6" ht="90" customHeight="1" x14ac:dyDescent="0.25">
      <c r="A15" s="71">
        <v>3</v>
      </c>
      <c r="B15" s="64" t="s">
        <v>416</v>
      </c>
      <c r="C15" s="415" t="s">
        <v>466</v>
      </c>
      <c r="D15" s="416"/>
      <c r="E15" s="66" t="s">
        <v>468</v>
      </c>
      <c r="F15" s="414"/>
    </row>
    <row r="16" spans="1:6" ht="47.25" customHeight="1" x14ac:dyDescent="0.25">
      <c r="A16" s="71">
        <v>4</v>
      </c>
      <c r="B16" s="50"/>
      <c r="C16" s="50"/>
      <c r="D16" s="66"/>
      <c r="E16" s="66"/>
      <c r="F16" s="414"/>
    </row>
  </sheetData>
  <mergeCells count="17">
    <mergeCell ref="C9:D9"/>
    <mergeCell ref="C10:D10"/>
    <mergeCell ref="B8:B14"/>
    <mergeCell ref="A8:A14"/>
    <mergeCell ref="A1:F1"/>
    <mergeCell ref="C2:D2"/>
    <mergeCell ref="C3:C5"/>
    <mergeCell ref="E3:E4"/>
    <mergeCell ref="B3:B7"/>
    <mergeCell ref="A3:A7"/>
    <mergeCell ref="C14:D14"/>
    <mergeCell ref="C11:D11"/>
    <mergeCell ref="C12:D12"/>
    <mergeCell ref="C13:D13"/>
    <mergeCell ref="F3:F16"/>
    <mergeCell ref="C8:D8"/>
    <mergeCell ref="C15:D15"/>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1D6ADF-4D20-42D3-8DA4-6C4BDB8F646D}">
  <dimension ref="A1:E22"/>
  <sheetViews>
    <sheetView topLeftCell="A13" workbookViewId="0">
      <selection activeCell="E20" sqref="E20"/>
    </sheetView>
  </sheetViews>
  <sheetFormatPr defaultRowHeight="15" x14ac:dyDescent="0.25"/>
  <cols>
    <col min="1" max="1" width="9.140625" style="29"/>
    <col min="2" max="2" width="34.5703125" style="32" customWidth="1"/>
    <col min="3" max="3" width="71.28515625" style="24" customWidth="1"/>
    <col min="4" max="4" width="55" style="70" customWidth="1"/>
    <col min="5" max="5" width="27.140625" style="6" customWidth="1"/>
  </cols>
  <sheetData>
    <row r="1" spans="1:5" ht="40.5" customHeight="1" x14ac:dyDescent="0.25">
      <c r="A1" s="407" t="s">
        <v>423</v>
      </c>
      <c r="B1" s="407"/>
      <c r="C1" s="407"/>
      <c r="D1" s="407"/>
      <c r="E1" s="407"/>
    </row>
    <row r="2" spans="1:5" ht="36.75" customHeight="1" x14ac:dyDescent="0.25">
      <c r="A2" s="71" t="s">
        <v>118</v>
      </c>
      <c r="B2" s="72" t="s">
        <v>420</v>
      </c>
      <c r="C2" s="72" t="s">
        <v>425</v>
      </c>
      <c r="D2" s="73" t="s">
        <v>421</v>
      </c>
      <c r="E2" s="71" t="s">
        <v>413</v>
      </c>
    </row>
    <row r="3" spans="1:5" ht="74.25" customHeight="1" x14ac:dyDescent="0.25">
      <c r="A3" s="71">
        <v>1</v>
      </c>
      <c r="B3" s="59" t="s">
        <v>405</v>
      </c>
      <c r="C3" s="66" t="s">
        <v>424</v>
      </c>
      <c r="D3" s="420" t="s">
        <v>430</v>
      </c>
      <c r="E3" s="123" t="s">
        <v>629</v>
      </c>
    </row>
    <row r="4" spans="1:5" ht="55.5" customHeight="1" x14ac:dyDescent="0.25">
      <c r="A4" s="71">
        <v>2</v>
      </c>
      <c r="B4" s="59" t="s">
        <v>422</v>
      </c>
      <c r="C4" s="66" t="s">
        <v>426</v>
      </c>
      <c r="D4" s="421"/>
      <c r="E4" s="124" t="s">
        <v>629</v>
      </c>
    </row>
    <row r="5" spans="1:5" ht="72.75" customHeight="1" x14ac:dyDescent="0.25">
      <c r="A5" s="71">
        <v>3</v>
      </c>
      <c r="B5" s="59" t="s">
        <v>406</v>
      </c>
      <c r="C5" s="66" t="s">
        <v>438</v>
      </c>
      <c r="D5" s="67" t="s">
        <v>449</v>
      </c>
      <c r="E5" s="124" t="s">
        <v>629</v>
      </c>
    </row>
    <row r="6" spans="1:5" ht="68.25" customHeight="1" x14ac:dyDescent="0.25">
      <c r="A6" s="71">
        <v>4</v>
      </c>
      <c r="B6" s="59" t="s">
        <v>407</v>
      </c>
      <c r="C6" s="66" t="s">
        <v>440</v>
      </c>
      <c r="D6" s="68" t="s">
        <v>736</v>
      </c>
      <c r="E6" s="124" t="s">
        <v>732</v>
      </c>
    </row>
    <row r="7" spans="1:5" ht="53.25" customHeight="1" x14ac:dyDescent="0.25">
      <c r="A7" s="71">
        <v>5</v>
      </c>
      <c r="B7" s="59" t="s">
        <v>408</v>
      </c>
      <c r="C7" s="66" t="s">
        <v>631</v>
      </c>
      <c r="D7" s="68" t="s">
        <v>431</v>
      </c>
      <c r="E7" s="124" t="s">
        <v>630</v>
      </c>
    </row>
    <row r="8" spans="1:5" ht="40.5" customHeight="1" x14ac:dyDescent="0.25">
      <c r="A8" s="71">
        <v>6</v>
      </c>
      <c r="B8" s="59" t="s">
        <v>432</v>
      </c>
      <c r="C8" s="66" t="s">
        <v>427</v>
      </c>
      <c r="D8" s="422" t="s">
        <v>734</v>
      </c>
      <c r="E8" s="124" t="s">
        <v>632</v>
      </c>
    </row>
    <row r="9" spans="1:5" ht="40.5" customHeight="1" x14ac:dyDescent="0.25">
      <c r="A9" s="71">
        <v>7</v>
      </c>
      <c r="B9" s="59" t="s">
        <v>433</v>
      </c>
      <c r="C9" s="66" t="s">
        <v>428</v>
      </c>
      <c r="D9" s="423"/>
      <c r="E9" s="124" t="s">
        <v>632</v>
      </c>
    </row>
    <row r="10" spans="1:5" ht="71.25" customHeight="1" x14ac:dyDescent="0.25">
      <c r="A10" s="71">
        <v>8</v>
      </c>
      <c r="B10" s="59" t="s">
        <v>419</v>
      </c>
      <c r="C10" s="66" t="s">
        <v>434</v>
      </c>
      <c r="D10" s="68" t="s">
        <v>735</v>
      </c>
      <c r="E10" s="124" t="s">
        <v>733</v>
      </c>
    </row>
    <row r="11" spans="1:5" ht="78.75" customHeight="1" x14ac:dyDescent="0.25">
      <c r="A11" s="71">
        <v>9</v>
      </c>
      <c r="B11" s="59" t="s">
        <v>418</v>
      </c>
      <c r="C11" s="66" t="s">
        <v>742</v>
      </c>
      <c r="D11" s="68" t="s">
        <v>741</v>
      </c>
      <c r="E11" s="124" t="s">
        <v>743</v>
      </c>
    </row>
    <row r="12" spans="1:5" ht="107.25" customHeight="1" x14ac:dyDescent="0.25">
      <c r="A12" s="71">
        <v>11</v>
      </c>
      <c r="B12" s="59" t="s">
        <v>409</v>
      </c>
      <c r="C12" s="66" t="s">
        <v>429</v>
      </c>
      <c r="D12" s="68"/>
      <c r="E12" s="124"/>
    </row>
    <row r="13" spans="1:5" ht="121.5" customHeight="1" x14ac:dyDescent="0.25">
      <c r="A13" s="71">
        <v>12</v>
      </c>
      <c r="B13" s="59" t="s">
        <v>410</v>
      </c>
      <c r="C13" s="66" t="s">
        <v>435</v>
      </c>
      <c r="D13" s="67" t="s">
        <v>436</v>
      </c>
      <c r="E13" s="124" t="s">
        <v>629</v>
      </c>
    </row>
    <row r="14" spans="1:5" ht="26.25" customHeight="1" x14ac:dyDescent="0.25">
      <c r="A14" s="71">
        <v>13</v>
      </c>
      <c r="B14" s="417" t="s">
        <v>411</v>
      </c>
      <c r="C14" s="59" t="s">
        <v>448</v>
      </c>
      <c r="D14" s="420" t="s">
        <v>437</v>
      </c>
      <c r="E14" s="124"/>
    </row>
    <row r="15" spans="1:5" ht="26.25" customHeight="1" x14ac:dyDescent="0.25">
      <c r="A15" s="71">
        <v>14</v>
      </c>
      <c r="B15" s="419"/>
      <c r="C15" s="59" t="s">
        <v>447</v>
      </c>
      <c r="D15" s="424"/>
      <c r="E15" s="124"/>
    </row>
    <row r="16" spans="1:5" ht="26.25" customHeight="1" x14ac:dyDescent="0.25">
      <c r="A16" s="71">
        <v>15</v>
      </c>
      <c r="B16" s="419"/>
      <c r="C16" s="59" t="s">
        <v>446</v>
      </c>
      <c r="D16" s="424"/>
      <c r="E16" s="124"/>
    </row>
    <row r="17" spans="1:5" ht="26.25" customHeight="1" x14ac:dyDescent="0.25">
      <c r="A17" s="71">
        <v>16</v>
      </c>
      <c r="B17" s="419"/>
      <c r="C17" s="59" t="s">
        <v>445</v>
      </c>
      <c r="D17" s="424"/>
      <c r="E17" s="124"/>
    </row>
    <row r="18" spans="1:5" ht="90.75" customHeight="1" x14ac:dyDescent="0.25">
      <c r="A18" s="71">
        <v>17</v>
      </c>
      <c r="B18" s="418"/>
      <c r="C18" s="74" t="s">
        <v>444</v>
      </c>
      <c r="D18" s="421"/>
      <c r="E18" s="124"/>
    </row>
    <row r="19" spans="1:5" ht="36" customHeight="1" x14ac:dyDescent="0.25">
      <c r="A19" s="71">
        <v>18</v>
      </c>
      <c r="B19" s="417" t="s">
        <v>412</v>
      </c>
      <c r="C19" s="59" t="s">
        <v>442</v>
      </c>
      <c r="D19" s="68"/>
      <c r="E19" s="124"/>
    </row>
    <row r="20" spans="1:5" ht="29.25" customHeight="1" x14ac:dyDescent="0.25">
      <c r="A20" s="71">
        <v>19</v>
      </c>
      <c r="B20" s="418"/>
      <c r="C20" s="59" t="s">
        <v>441</v>
      </c>
      <c r="D20" s="68"/>
      <c r="E20" s="124"/>
    </row>
    <row r="21" spans="1:5" ht="36.75" customHeight="1" x14ac:dyDescent="0.25">
      <c r="A21" s="71">
        <v>20</v>
      </c>
      <c r="B21" s="59" t="s">
        <v>439</v>
      </c>
      <c r="C21" s="59" t="s">
        <v>443</v>
      </c>
      <c r="D21" s="68"/>
      <c r="E21" s="125"/>
    </row>
    <row r="22" spans="1:5" x14ac:dyDescent="0.25">
      <c r="A22" s="6"/>
      <c r="B22" s="26"/>
      <c r="C22" s="26"/>
      <c r="D22" s="69"/>
    </row>
  </sheetData>
  <mergeCells count="6">
    <mergeCell ref="B19:B20"/>
    <mergeCell ref="B14:B18"/>
    <mergeCell ref="A1:E1"/>
    <mergeCell ref="D3:D4"/>
    <mergeCell ref="D8:D9"/>
    <mergeCell ref="D14:D18"/>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276F95-334A-456D-AFA1-4C7BC526BDFD}">
  <dimension ref="A1:X53"/>
  <sheetViews>
    <sheetView topLeftCell="A7" zoomScale="85" zoomScaleNormal="85" workbookViewId="0">
      <selection activeCell="K29" sqref="K29"/>
    </sheetView>
  </sheetViews>
  <sheetFormatPr defaultRowHeight="15" x14ac:dyDescent="0.25"/>
  <cols>
    <col min="2" max="3" width="14.5703125" style="21" customWidth="1"/>
    <col min="4" max="4" width="19.85546875" customWidth="1"/>
    <col min="5" max="5" width="35" bestFit="1" customWidth="1"/>
    <col min="7" max="7" width="38.5703125" customWidth="1"/>
    <col min="8" max="8" width="10.5703125" customWidth="1"/>
    <col min="10" max="10" width="9.140625" style="21"/>
    <col min="11" max="11" width="26.42578125" style="21" customWidth="1"/>
    <col min="12" max="12" width="15.140625" customWidth="1"/>
    <col min="13" max="13" width="18.7109375" style="6" customWidth="1"/>
    <col min="14" max="14" width="15.7109375" customWidth="1"/>
  </cols>
  <sheetData>
    <row r="1" spans="1:24" ht="19.5" x14ac:dyDescent="0.25">
      <c r="A1" s="184" t="s">
        <v>320</v>
      </c>
      <c r="B1" s="184"/>
      <c r="C1" s="184"/>
      <c r="D1" s="184"/>
      <c r="E1" s="184"/>
      <c r="F1" s="184"/>
      <c r="I1" s="184" t="s">
        <v>368</v>
      </c>
      <c r="J1" s="184"/>
      <c r="K1" s="184"/>
      <c r="L1" s="184"/>
      <c r="M1" s="184"/>
      <c r="N1" s="184"/>
    </row>
    <row r="2" spans="1:24" ht="30.75" customHeight="1" x14ac:dyDescent="0.25">
      <c r="A2" s="41" t="s">
        <v>118</v>
      </c>
      <c r="B2" s="189" t="s">
        <v>324</v>
      </c>
      <c r="C2" s="189"/>
      <c r="D2" s="189"/>
      <c r="E2" s="189"/>
      <c r="F2" s="189"/>
      <c r="I2" s="41" t="s">
        <v>118</v>
      </c>
      <c r="J2" s="189" t="s">
        <v>324</v>
      </c>
      <c r="K2" s="189"/>
      <c r="L2" s="189"/>
      <c r="M2" s="189"/>
      <c r="N2" s="189"/>
      <c r="O2" s="178"/>
      <c r="P2" s="178"/>
      <c r="Q2" s="178"/>
      <c r="R2" s="178"/>
      <c r="S2" s="178"/>
      <c r="T2" s="178"/>
      <c r="U2" s="178"/>
      <c r="V2" s="178"/>
      <c r="W2" s="178"/>
      <c r="X2" s="178"/>
    </row>
    <row r="3" spans="1:24" ht="38.25" customHeight="1" x14ac:dyDescent="0.25">
      <c r="A3" s="8">
        <v>1</v>
      </c>
      <c r="B3" s="178" t="s">
        <v>169</v>
      </c>
      <c r="C3" s="178"/>
      <c r="D3" s="8" t="s">
        <v>188</v>
      </c>
      <c r="E3" s="33">
        <f>'Tụ hóa đầu vào'!D2</f>
        <v>150</v>
      </c>
      <c r="F3" s="8" t="s">
        <v>170</v>
      </c>
      <c r="I3" s="8">
        <v>1</v>
      </c>
      <c r="J3" s="196" t="s">
        <v>377</v>
      </c>
      <c r="K3" s="196"/>
      <c r="L3" s="8" t="s">
        <v>331</v>
      </c>
      <c r="M3" s="8">
        <v>700</v>
      </c>
      <c r="N3" s="8" t="s">
        <v>115</v>
      </c>
      <c r="O3" s="178"/>
      <c r="P3" s="178"/>
      <c r="Q3" s="178"/>
      <c r="R3" s="178"/>
      <c r="S3" s="178"/>
      <c r="T3" s="178"/>
      <c r="U3" s="178"/>
      <c r="V3" s="178"/>
      <c r="W3" s="178"/>
      <c r="X3" s="178"/>
    </row>
    <row r="4" spans="1:24" ht="42" customHeight="1" x14ac:dyDescent="0.25">
      <c r="A4" s="8">
        <v>2</v>
      </c>
      <c r="B4" s="178" t="s">
        <v>167</v>
      </c>
      <c r="C4" s="178"/>
      <c r="D4" s="8" t="s">
        <v>189</v>
      </c>
      <c r="E4" s="33">
        <f>'Tụ hóa đầu vào'!D3</f>
        <v>265</v>
      </c>
      <c r="F4" s="8" t="s">
        <v>170</v>
      </c>
      <c r="I4" s="8">
        <v>2</v>
      </c>
      <c r="J4" s="190" t="s">
        <v>334</v>
      </c>
      <c r="K4" s="196"/>
      <c r="L4" s="8" t="s">
        <v>351</v>
      </c>
      <c r="M4" s="8">
        <f xml:space="preserve"> ('Biến áp + Diode'!U5+'Lựa chọn linh kiện'!E30)*'Lựa chọn linh kiện'!E15/'Lựa chọn linh kiện'!E17</f>
        <v>49.016483516483504</v>
      </c>
      <c r="N4" s="8" t="s">
        <v>115</v>
      </c>
      <c r="O4" s="178"/>
      <c r="P4" s="178"/>
      <c r="Q4" s="178"/>
      <c r="R4" s="178"/>
      <c r="S4" s="178"/>
      <c r="T4" s="178"/>
      <c r="U4" s="178"/>
      <c r="V4" s="178"/>
      <c r="W4" s="178"/>
      <c r="X4" s="178"/>
    </row>
    <row r="5" spans="1:24" ht="40.5" customHeight="1" x14ac:dyDescent="0.25">
      <c r="A5" s="8">
        <v>3</v>
      </c>
      <c r="B5" s="178" t="s">
        <v>322</v>
      </c>
      <c r="C5" s="178"/>
      <c r="D5" s="8" t="s">
        <v>321</v>
      </c>
      <c r="E5" s="33">
        <f>'Tụ hóa đầu vào'!D4</f>
        <v>50</v>
      </c>
      <c r="F5" s="8" t="s">
        <v>176</v>
      </c>
      <c r="I5" s="8">
        <v>3</v>
      </c>
      <c r="J5" s="190" t="s">
        <v>372</v>
      </c>
      <c r="K5" s="196"/>
      <c r="L5" s="8" t="s">
        <v>333</v>
      </c>
      <c r="M5" s="8">
        <f>M3*0.4</f>
        <v>280</v>
      </c>
      <c r="N5" s="8" t="s">
        <v>115</v>
      </c>
      <c r="O5" s="178"/>
      <c r="P5" s="178"/>
      <c r="Q5" s="178"/>
      <c r="R5" s="178"/>
      <c r="S5" s="178"/>
      <c r="T5" s="178"/>
      <c r="U5" s="178"/>
      <c r="V5" s="178"/>
      <c r="W5" s="178"/>
      <c r="X5" s="178"/>
    </row>
    <row r="6" spans="1:24" ht="42.75" customHeight="1" x14ac:dyDescent="0.25">
      <c r="A6" s="8">
        <v>4</v>
      </c>
      <c r="B6" s="178" t="s">
        <v>227</v>
      </c>
      <c r="C6" s="178"/>
      <c r="D6" s="8" t="s">
        <v>225</v>
      </c>
      <c r="E6" s="33">
        <f>'Tụ hóa đầu vào'!D19</f>
        <v>4.7372208763444288</v>
      </c>
      <c r="F6" s="8" t="s">
        <v>226</v>
      </c>
      <c r="I6" s="8">
        <v>4</v>
      </c>
      <c r="J6" s="190" t="s">
        <v>371</v>
      </c>
      <c r="K6" s="196"/>
      <c r="L6" s="10" t="s">
        <v>336</v>
      </c>
      <c r="M6" s="19">
        <f>Snubber!F6</f>
        <v>301.0164835164835</v>
      </c>
      <c r="N6" s="8" t="s">
        <v>115</v>
      </c>
      <c r="O6" s="178"/>
      <c r="P6" s="178"/>
      <c r="Q6" s="178"/>
      <c r="R6" s="178"/>
      <c r="S6" s="178"/>
      <c r="T6" s="178"/>
      <c r="U6" s="178"/>
      <c r="V6" s="178"/>
      <c r="W6" s="178"/>
      <c r="X6" s="178"/>
    </row>
    <row r="7" spans="1:24" ht="36.75" customHeight="1" x14ac:dyDescent="0.25">
      <c r="A7" s="8">
        <v>5</v>
      </c>
      <c r="B7" s="178" t="s">
        <v>228</v>
      </c>
      <c r="C7" s="178"/>
      <c r="D7" s="8" t="s">
        <v>229</v>
      </c>
      <c r="E7" s="33">
        <f>'Tụ hóa đầu vào'!D20</f>
        <v>1.5436768703035266</v>
      </c>
      <c r="F7" s="8" t="s">
        <v>226</v>
      </c>
      <c r="I7" s="8">
        <v>5</v>
      </c>
      <c r="J7" s="204" t="s">
        <v>375</v>
      </c>
      <c r="K7" s="205"/>
      <c r="L7" s="8" t="s">
        <v>370</v>
      </c>
      <c r="M7" s="43">
        <v>60</v>
      </c>
      <c r="N7" s="8" t="s">
        <v>161</v>
      </c>
      <c r="O7" s="178"/>
      <c r="P7" s="178"/>
      <c r="Q7" s="178"/>
      <c r="R7" s="178"/>
      <c r="S7" s="178"/>
      <c r="T7" s="178"/>
      <c r="U7" s="178"/>
      <c r="V7" s="178"/>
      <c r="W7" s="178"/>
      <c r="X7" s="178"/>
    </row>
    <row r="8" spans="1:24" ht="31.5" customHeight="1" x14ac:dyDescent="0.25">
      <c r="A8" s="8">
        <v>6</v>
      </c>
      <c r="B8" s="177" t="s">
        <v>323</v>
      </c>
      <c r="C8" s="177"/>
      <c r="D8" s="177" t="s">
        <v>272</v>
      </c>
      <c r="E8" s="43">
        <v>2.2000000000000002</v>
      </c>
      <c r="F8" s="8" t="s">
        <v>226</v>
      </c>
      <c r="G8" s="30" t="s">
        <v>367</v>
      </c>
      <c r="I8" s="8">
        <v>6</v>
      </c>
      <c r="J8" s="204" t="s">
        <v>373</v>
      </c>
      <c r="K8" s="205"/>
      <c r="L8" s="8" t="s">
        <v>326</v>
      </c>
      <c r="M8" s="43">
        <v>330</v>
      </c>
      <c r="N8" s="8" t="s">
        <v>374</v>
      </c>
      <c r="O8" s="178"/>
      <c r="P8" s="178"/>
      <c r="Q8" s="178"/>
      <c r="R8" s="178"/>
      <c r="S8" s="178"/>
      <c r="T8" s="178"/>
      <c r="U8" s="178"/>
      <c r="V8" s="178"/>
      <c r="W8" s="178"/>
      <c r="X8" s="178"/>
    </row>
    <row r="9" spans="1:24" ht="32.25" customHeight="1" x14ac:dyDescent="0.25">
      <c r="A9" s="8">
        <v>7</v>
      </c>
      <c r="B9" s="177"/>
      <c r="C9" s="177"/>
      <c r="D9" s="177"/>
      <c r="E9" s="8">
        <v>3.3</v>
      </c>
      <c r="F9" s="8" t="s">
        <v>226</v>
      </c>
      <c r="I9" s="8">
        <v>7</v>
      </c>
      <c r="J9" s="206" t="s">
        <v>369</v>
      </c>
      <c r="K9" s="205"/>
      <c r="L9" s="8" t="s">
        <v>343</v>
      </c>
      <c r="M9" s="31">
        <f>Snubber!F14</f>
        <v>123.10924286367114</v>
      </c>
      <c r="N9" s="8" t="s">
        <v>378</v>
      </c>
      <c r="O9" s="178"/>
      <c r="P9" s="178"/>
      <c r="Q9" s="178"/>
      <c r="R9" s="178"/>
      <c r="S9" s="178"/>
      <c r="T9" s="178"/>
      <c r="U9" s="178"/>
      <c r="V9" s="178"/>
      <c r="W9" s="178"/>
      <c r="X9" s="178"/>
    </row>
    <row r="10" spans="1:24" ht="27.75" customHeight="1" x14ac:dyDescent="0.25">
      <c r="A10" s="8">
        <v>8</v>
      </c>
      <c r="B10" s="177"/>
      <c r="C10" s="177"/>
      <c r="D10" s="177"/>
      <c r="E10" s="8">
        <v>4.7</v>
      </c>
      <c r="F10" s="8" t="s">
        <v>226</v>
      </c>
      <c r="I10" s="8">
        <v>8</v>
      </c>
      <c r="J10" s="206" t="s">
        <v>376</v>
      </c>
      <c r="K10" s="205"/>
      <c r="L10" s="8" t="s">
        <v>327</v>
      </c>
      <c r="M10" s="19">
        <f>Snubber!F15</f>
        <v>0.50339401860349653</v>
      </c>
      <c r="N10" s="8" t="s">
        <v>213</v>
      </c>
      <c r="O10" s="178"/>
      <c r="P10" s="178"/>
      <c r="Q10" s="178"/>
      <c r="R10" s="178"/>
      <c r="S10" s="178"/>
      <c r="T10" s="178"/>
      <c r="U10" s="178"/>
      <c r="V10" s="178"/>
      <c r="W10" s="178"/>
      <c r="X10" s="178"/>
    </row>
    <row r="11" spans="1:24" ht="27.75" customHeight="1" x14ac:dyDescent="0.25">
      <c r="A11" s="6"/>
      <c r="B11" s="6"/>
      <c r="C11" s="6"/>
      <c r="D11" s="6"/>
      <c r="E11" s="29"/>
      <c r="F11" s="6"/>
    </row>
    <row r="12" spans="1:24" ht="33" customHeight="1" x14ac:dyDescent="0.25">
      <c r="A12" s="184" t="s">
        <v>309</v>
      </c>
      <c r="B12" s="184"/>
      <c r="C12" s="184"/>
      <c r="D12" s="184"/>
      <c r="E12" s="184"/>
      <c r="F12" s="184"/>
      <c r="I12" s="184" t="s">
        <v>379</v>
      </c>
      <c r="J12" s="184"/>
      <c r="K12" s="184"/>
      <c r="L12" s="184"/>
      <c r="M12" s="184"/>
      <c r="N12" s="184"/>
    </row>
    <row r="13" spans="1:24" ht="38.25" customHeight="1" x14ac:dyDescent="0.25">
      <c r="A13" s="8" t="s">
        <v>118</v>
      </c>
      <c r="B13" s="188" t="s">
        <v>295</v>
      </c>
      <c r="C13" s="188"/>
      <c r="D13" s="188"/>
      <c r="E13" s="188"/>
      <c r="F13" s="188"/>
      <c r="G13" s="37"/>
      <c r="I13" s="178"/>
      <c r="J13" s="178"/>
      <c r="K13" s="178"/>
      <c r="L13" s="178"/>
      <c r="M13" s="178"/>
      <c r="N13" s="178"/>
      <c r="O13" s="178"/>
      <c r="P13" s="178"/>
      <c r="Q13" s="178"/>
      <c r="R13" s="178"/>
      <c r="S13" s="178"/>
      <c r="T13" s="178"/>
      <c r="U13" s="178"/>
      <c r="V13" s="178"/>
      <c r="W13" s="178"/>
      <c r="X13" s="178"/>
    </row>
    <row r="14" spans="1:24" ht="27.75" customHeight="1" x14ac:dyDescent="0.25">
      <c r="A14" s="8">
        <v>1</v>
      </c>
      <c r="B14" s="183" t="s">
        <v>285</v>
      </c>
      <c r="C14" s="183"/>
      <c r="D14" s="39" t="s">
        <v>286</v>
      </c>
      <c r="E14" s="38">
        <f>'Biến áp + Diode'!L10</f>
        <v>1</v>
      </c>
      <c r="F14" s="38" t="s">
        <v>236</v>
      </c>
      <c r="G14" s="181"/>
      <c r="I14" s="178"/>
      <c r="J14" s="178"/>
      <c r="K14" s="178"/>
      <c r="L14" s="178"/>
      <c r="M14" s="178"/>
      <c r="N14" s="178"/>
      <c r="O14" s="178"/>
      <c r="P14" s="178"/>
      <c r="Q14" s="178"/>
      <c r="R14" s="178"/>
      <c r="S14" s="178"/>
      <c r="T14" s="178"/>
      <c r="U14" s="178"/>
      <c r="V14" s="178"/>
      <c r="W14" s="178"/>
      <c r="X14" s="178"/>
    </row>
    <row r="15" spans="1:24" ht="27.75" customHeight="1" x14ac:dyDescent="0.25">
      <c r="A15" s="8">
        <v>2</v>
      </c>
      <c r="B15" s="183" t="s">
        <v>283</v>
      </c>
      <c r="C15" s="183"/>
      <c r="D15" s="39" t="s">
        <v>287</v>
      </c>
      <c r="E15" s="38">
        <f>'Biến áp + Diode'!L11</f>
        <v>110</v>
      </c>
      <c r="F15" s="38" t="s">
        <v>246</v>
      </c>
      <c r="G15" s="181"/>
      <c r="I15" s="178"/>
      <c r="J15" s="178"/>
      <c r="K15" s="178"/>
      <c r="L15" s="178"/>
      <c r="M15" s="178"/>
      <c r="N15" s="178"/>
      <c r="O15" s="178"/>
      <c r="P15" s="178"/>
      <c r="Q15" s="178"/>
      <c r="R15" s="178"/>
      <c r="S15" s="178"/>
      <c r="T15" s="178"/>
      <c r="U15" s="178"/>
      <c r="V15" s="178"/>
      <c r="W15" s="178"/>
      <c r="X15" s="178"/>
    </row>
    <row r="16" spans="1:24" ht="27.75" customHeight="1" x14ac:dyDescent="0.25">
      <c r="A16" s="8">
        <v>3</v>
      </c>
      <c r="B16" s="191" t="s">
        <v>296</v>
      </c>
      <c r="C16" s="192"/>
      <c r="D16" s="185" t="s">
        <v>299</v>
      </c>
      <c r="E16" s="186"/>
      <c r="F16" s="187"/>
      <c r="G16" s="181"/>
      <c r="I16" s="178"/>
      <c r="J16" s="178"/>
      <c r="K16" s="178"/>
      <c r="L16" s="178"/>
      <c r="M16" s="178"/>
      <c r="N16" s="178"/>
      <c r="O16" s="178"/>
      <c r="P16" s="178"/>
      <c r="Q16" s="178"/>
      <c r="R16" s="178"/>
      <c r="S16" s="178"/>
      <c r="T16" s="178"/>
      <c r="U16" s="178"/>
      <c r="V16" s="178"/>
      <c r="W16" s="178"/>
      <c r="X16" s="178"/>
    </row>
    <row r="17" spans="1:24" ht="27.75" customHeight="1" x14ac:dyDescent="0.25">
      <c r="A17" s="8">
        <v>4</v>
      </c>
      <c r="B17" s="183" t="s">
        <v>248</v>
      </c>
      <c r="C17" s="183"/>
      <c r="D17" s="39" t="s">
        <v>288</v>
      </c>
      <c r="E17" s="38">
        <f>'Biến áp + Diode'!L12</f>
        <v>13</v>
      </c>
      <c r="F17" s="38" t="s">
        <v>246</v>
      </c>
      <c r="G17" s="181"/>
      <c r="I17" s="178"/>
      <c r="J17" s="178"/>
      <c r="K17" s="178"/>
      <c r="L17" s="178"/>
      <c r="M17" s="178"/>
      <c r="N17" s="178"/>
      <c r="O17" s="178"/>
      <c r="P17" s="178"/>
      <c r="Q17" s="178"/>
      <c r="R17" s="178"/>
      <c r="S17" s="178"/>
      <c r="T17" s="178"/>
      <c r="U17" s="178"/>
      <c r="V17" s="178"/>
      <c r="W17" s="178"/>
      <c r="X17" s="178"/>
    </row>
    <row r="18" spans="1:24" ht="27.75" customHeight="1" x14ac:dyDescent="0.25">
      <c r="A18" s="8">
        <v>5</v>
      </c>
      <c r="B18" s="191" t="s">
        <v>297</v>
      </c>
      <c r="C18" s="192"/>
      <c r="D18" s="185" t="s">
        <v>300</v>
      </c>
      <c r="E18" s="186"/>
      <c r="F18" s="187"/>
      <c r="G18" s="181"/>
      <c r="I18" s="178"/>
      <c r="J18" s="178"/>
      <c r="K18" s="178"/>
      <c r="L18" s="178"/>
      <c r="M18" s="178"/>
      <c r="N18" s="178"/>
      <c r="O18" s="178"/>
      <c r="P18" s="178"/>
      <c r="Q18" s="178"/>
      <c r="R18" s="178"/>
      <c r="S18" s="178"/>
      <c r="T18" s="178"/>
      <c r="U18" s="178"/>
      <c r="V18" s="178"/>
      <c r="W18" s="178"/>
      <c r="X18" s="178"/>
    </row>
    <row r="19" spans="1:24" ht="27.75" customHeight="1" x14ac:dyDescent="0.25">
      <c r="A19" s="8">
        <v>6</v>
      </c>
      <c r="B19" s="183" t="s">
        <v>284</v>
      </c>
      <c r="C19" s="183"/>
      <c r="D19" s="39" t="s">
        <v>289</v>
      </c>
      <c r="E19" s="38">
        <f>'Biến áp + Diode'!L13</f>
        <v>28</v>
      </c>
      <c r="F19" s="38" t="s">
        <v>246</v>
      </c>
      <c r="G19" s="181"/>
      <c r="I19" s="197">
        <v>250</v>
      </c>
      <c r="J19" s="198"/>
      <c r="K19" s="199"/>
      <c r="L19" s="197">
        <v>150</v>
      </c>
      <c r="M19" s="198"/>
      <c r="N19" s="199"/>
      <c r="O19" s="178"/>
      <c r="P19" s="178"/>
      <c r="Q19" s="178"/>
      <c r="R19" s="178"/>
      <c r="S19" s="178"/>
      <c r="T19" s="178"/>
      <c r="U19" s="178"/>
      <c r="V19" s="178"/>
      <c r="W19" s="178"/>
      <c r="X19" s="178"/>
    </row>
    <row r="20" spans="1:24" ht="33" customHeight="1" x14ac:dyDescent="0.25">
      <c r="A20" s="8">
        <v>7</v>
      </c>
      <c r="B20" s="191" t="s">
        <v>298</v>
      </c>
      <c r="C20" s="192"/>
      <c r="D20" s="185" t="s">
        <v>299</v>
      </c>
      <c r="E20" s="186"/>
      <c r="F20" s="187"/>
      <c r="G20" s="181"/>
      <c r="I20" s="200" t="s">
        <v>112</v>
      </c>
      <c r="J20" s="201"/>
      <c r="K20" s="202"/>
      <c r="L20" s="200" t="s">
        <v>114</v>
      </c>
      <c r="M20" s="201"/>
      <c r="N20" s="202"/>
      <c r="O20" s="178"/>
      <c r="P20" s="178"/>
      <c r="Q20" s="178"/>
      <c r="R20" s="178"/>
      <c r="S20" s="178"/>
      <c r="T20" s="178"/>
      <c r="U20" s="178"/>
      <c r="V20" s="178"/>
      <c r="W20" s="178"/>
      <c r="X20" s="178"/>
    </row>
    <row r="21" spans="1:24" ht="27.75" customHeight="1" x14ac:dyDescent="0.25">
      <c r="A21" s="8">
        <v>8</v>
      </c>
      <c r="B21" s="183" t="s">
        <v>290</v>
      </c>
      <c r="C21" s="183"/>
      <c r="D21" s="40" t="s">
        <v>291</v>
      </c>
      <c r="E21" s="38">
        <f>E14*0.1</f>
        <v>0.1</v>
      </c>
      <c r="F21" s="38" t="s">
        <v>236</v>
      </c>
      <c r="G21" s="181"/>
      <c r="I21" s="203" t="s">
        <v>380</v>
      </c>
      <c r="J21" s="196"/>
      <c r="K21" s="196"/>
      <c r="L21" s="196"/>
      <c r="M21" s="196"/>
      <c r="N21" s="196"/>
      <c r="O21" s="178"/>
      <c r="P21" s="178"/>
      <c r="Q21" s="178"/>
      <c r="R21" s="178"/>
      <c r="S21" s="178"/>
      <c r="T21" s="178"/>
      <c r="U21" s="178"/>
      <c r="V21" s="178"/>
      <c r="W21" s="178"/>
      <c r="X21" s="178"/>
    </row>
    <row r="22" spans="1:24" ht="27.75" customHeight="1" x14ac:dyDescent="0.25">
      <c r="A22" s="8">
        <v>9</v>
      </c>
      <c r="B22" s="183" t="s">
        <v>292</v>
      </c>
      <c r="C22" s="183"/>
      <c r="D22" s="38" t="s">
        <v>490</v>
      </c>
      <c r="E22" s="181" t="s">
        <v>293</v>
      </c>
      <c r="F22" s="181"/>
      <c r="G22" s="181"/>
      <c r="I22" s="196"/>
      <c r="J22" s="196"/>
      <c r="K22" s="196"/>
      <c r="L22" s="196"/>
      <c r="M22" s="196"/>
      <c r="N22" s="196"/>
      <c r="O22" s="178"/>
      <c r="P22" s="178"/>
      <c r="Q22" s="178"/>
      <c r="R22" s="178"/>
      <c r="S22" s="178"/>
      <c r="T22" s="178"/>
      <c r="U22" s="178"/>
      <c r="V22" s="178"/>
      <c r="W22" s="178"/>
      <c r="X22" s="178"/>
    </row>
    <row r="23" spans="1:24" ht="27.75" customHeight="1" x14ac:dyDescent="0.25">
      <c r="A23" s="8">
        <v>10</v>
      </c>
      <c r="B23" s="183" t="s">
        <v>294</v>
      </c>
      <c r="C23" s="183"/>
      <c r="D23" s="181" t="s">
        <v>588</v>
      </c>
      <c r="E23" s="181"/>
      <c r="F23" s="181"/>
      <c r="G23" s="181"/>
      <c r="I23" s="196"/>
      <c r="J23" s="196"/>
      <c r="K23" s="196"/>
      <c r="L23" s="196"/>
      <c r="M23" s="196"/>
      <c r="N23" s="196"/>
      <c r="O23" s="178"/>
      <c r="P23" s="178"/>
      <c r="Q23" s="178"/>
      <c r="R23" s="178"/>
      <c r="S23" s="178"/>
      <c r="T23" s="178"/>
      <c r="U23" s="178"/>
      <c r="V23" s="178"/>
      <c r="W23" s="178"/>
      <c r="X23" s="178"/>
    </row>
    <row r="25" spans="1:24" ht="42.75" customHeight="1" x14ac:dyDescent="0.25">
      <c r="A25" s="184" t="s">
        <v>314</v>
      </c>
      <c r="B25" s="184"/>
      <c r="C25" s="184"/>
      <c r="D25" s="184"/>
      <c r="E25" s="184"/>
      <c r="F25" s="184"/>
    </row>
    <row r="26" spans="1:24" s="6" customFormat="1" ht="28.5" customHeight="1" x14ac:dyDescent="0.25">
      <c r="A26" s="8" t="s">
        <v>118</v>
      </c>
      <c r="B26" s="188" t="s">
        <v>318</v>
      </c>
      <c r="C26" s="188"/>
      <c r="D26" s="188"/>
      <c r="E26" s="188"/>
      <c r="F26" s="188"/>
      <c r="G26" s="179" t="s">
        <v>317</v>
      </c>
      <c r="J26" s="21"/>
      <c r="K26" s="21"/>
    </row>
    <row r="27" spans="1:24" s="6" customFormat="1" ht="28.5" customHeight="1" x14ac:dyDescent="0.25">
      <c r="A27" s="8">
        <v>1</v>
      </c>
      <c r="B27" s="183" t="s">
        <v>301</v>
      </c>
      <c r="C27" s="183"/>
      <c r="D27" s="181" t="s">
        <v>302</v>
      </c>
      <c r="E27" s="181"/>
      <c r="F27" s="181"/>
      <c r="G27" s="180"/>
      <c r="J27" s="21"/>
      <c r="K27" s="21"/>
    </row>
    <row r="28" spans="1:24" s="6" customFormat="1" ht="28.5" customHeight="1" x14ac:dyDescent="0.25">
      <c r="A28" s="8">
        <v>2</v>
      </c>
      <c r="B28" s="182" t="s">
        <v>313</v>
      </c>
      <c r="C28" s="183"/>
      <c r="D28" s="38" t="s">
        <v>303</v>
      </c>
      <c r="E28" s="38">
        <v>100</v>
      </c>
      <c r="F28" s="38" t="s">
        <v>115</v>
      </c>
      <c r="G28" s="180"/>
      <c r="J28" s="21"/>
      <c r="K28" s="21"/>
    </row>
    <row r="29" spans="1:24" s="6" customFormat="1" ht="28.5" customHeight="1" x14ac:dyDescent="0.25">
      <c r="A29" s="8">
        <v>3</v>
      </c>
      <c r="B29" s="183" t="s">
        <v>312</v>
      </c>
      <c r="C29" s="183"/>
      <c r="D29" s="38" t="s">
        <v>304</v>
      </c>
      <c r="E29" s="38">
        <v>70</v>
      </c>
      <c r="F29" s="38" t="s">
        <v>115</v>
      </c>
      <c r="G29" s="180"/>
      <c r="J29" s="21"/>
      <c r="K29" s="21"/>
    </row>
    <row r="30" spans="1:24" s="6" customFormat="1" ht="36.75" customHeight="1" x14ac:dyDescent="0.25">
      <c r="A30" s="8">
        <v>4</v>
      </c>
      <c r="B30" s="182" t="s">
        <v>310</v>
      </c>
      <c r="C30" s="183"/>
      <c r="D30" s="38" t="s">
        <v>305</v>
      </c>
      <c r="E30" s="38">
        <v>0.85</v>
      </c>
      <c r="F30" s="38" t="s">
        <v>115</v>
      </c>
      <c r="G30" s="180"/>
      <c r="J30" s="21"/>
      <c r="K30" s="21"/>
    </row>
    <row r="31" spans="1:24" s="6" customFormat="1" ht="28.5" customHeight="1" x14ac:dyDescent="0.25">
      <c r="A31" s="8">
        <v>5</v>
      </c>
      <c r="B31" s="182" t="s">
        <v>308</v>
      </c>
      <c r="C31" s="183"/>
      <c r="D31" s="38" t="s">
        <v>306</v>
      </c>
      <c r="E31" s="38">
        <v>100</v>
      </c>
      <c r="F31" s="38" t="s">
        <v>55</v>
      </c>
      <c r="G31" s="180"/>
      <c r="J31" s="21"/>
      <c r="K31" s="21"/>
    </row>
    <row r="32" spans="1:24" s="6" customFormat="1" ht="36" customHeight="1" x14ac:dyDescent="0.25">
      <c r="A32" s="8">
        <v>6</v>
      </c>
      <c r="B32" s="182" t="s">
        <v>311</v>
      </c>
      <c r="C32" s="183"/>
      <c r="D32" s="38" t="s">
        <v>307</v>
      </c>
      <c r="E32" s="38">
        <v>3</v>
      </c>
      <c r="F32" s="38" t="s">
        <v>55</v>
      </c>
      <c r="G32" s="180"/>
      <c r="J32" s="21"/>
      <c r="K32" s="21"/>
    </row>
    <row r="34" spans="1:7" ht="41.25" customHeight="1" x14ac:dyDescent="0.25">
      <c r="A34" s="184" t="s">
        <v>315</v>
      </c>
      <c r="B34" s="184"/>
      <c r="C34" s="184"/>
      <c r="D34" s="184"/>
      <c r="E34" s="184"/>
      <c r="F34" s="184"/>
    </row>
    <row r="35" spans="1:7" ht="29.25" customHeight="1" x14ac:dyDescent="0.25">
      <c r="A35" s="8" t="s">
        <v>118</v>
      </c>
      <c r="B35" s="188" t="s">
        <v>319</v>
      </c>
      <c r="C35" s="188"/>
      <c r="D35" s="188"/>
      <c r="E35" s="188"/>
      <c r="F35" s="188"/>
      <c r="G35" s="178"/>
    </row>
    <row r="36" spans="1:7" ht="29.25" customHeight="1" x14ac:dyDescent="0.25">
      <c r="A36" s="8">
        <v>1</v>
      </c>
      <c r="B36" s="183" t="s">
        <v>301</v>
      </c>
      <c r="C36" s="183"/>
      <c r="D36" s="181" t="s">
        <v>316</v>
      </c>
      <c r="E36" s="181"/>
      <c r="F36" s="181"/>
      <c r="G36" s="178"/>
    </row>
    <row r="37" spans="1:7" ht="29.25" customHeight="1" x14ac:dyDescent="0.25">
      <c r="A37" s="8">
        <v>2</v>
      </c>
      <c r="B37" s="182" t="s">
        <v>313</v>
      </c>
      <c r="C37" s="183"/>
      <c r="D37" s="38" t="s">
        <v>303</v>
      </c>
      <c r="E37" s="38">
        <v>1000</v>
      </c>
      <c r="F37" s="38" t="s">
        <v>115</v>
      </c>
      <c r="G37" s="178"/>
    </row>
    <row r="38" spans="1:7" ht="29.25" customHeight="1" x14ac:dyDescent="0.25">
      <c r="A38" s="8">
        <v>3</v>
      </c>
      <c r="B38" s="183" t="s">
        <v>312</v>
      </c>
      <c r="C38" s="183"/>
      <c r="D38" s="38" t="s">
        <v>304</v>
      </c>
      <c r="E38" s="38">
        <v>600</v>
      </c>
      <c r="F38" s="38" t="s">
        <v>115</v>
      </c>
      <c r="G38" s="178"/>
    </row>
    <row r="39" spans="1:7" ht="35.25" customHeight="1" x14ac:dyDescent="0.25">
      <c r="A39" s="8">
        <v>4</v>
      </c>
      <c r="B39" s="182" t="s">
        <v>310</v>
      </c>
      <c r="C39" s="183"/>
      <c r="D39" s="38" t="s">
        <v>305</v>
      </c>
      <c r="E39" s="38">
        <v>1.7</v>
      </c>
      <c r="F39" s="38" t="s">
        <v>115</v>
      </c>
      <c r="G39" s="178"/>
    </row>
    <row r="40" spans="1:7" ht="29.25" customHeight="1" x14ac:dyDescent="0.25">
      <c r="A40" s="8">
        <v>5</v>
      </c>
      <c r="B40" s="182" t="s">
        <v>308</v>
      </c>
      <c r="C40" s="183"/>
      <c r="D40" s="38" t="s">
        <v>306</v>
      </c>
      <c r="E40" s="38">
        <v>30</v>
      </c>
      <c r="F40" s="38" t="s">
        <v>55</v>
      </c>
      <c r="G40" s="178"/>
    </row>
    <row r="41" spans="1:7" ht="29.25" customHeight="1" x14ac:dyDescent="0.25">
      <c r="A41" s="8">
        <v>6</v>
      </c>
      <c r="B41" s="182" t="s">
        <v>311</v>
      </c>
      <c r="C41" s="183"/>
      <c r="D41" s="38" t="s">
        <v>307</v>
      </c>
      <c r="E41" s="38">
        <v>1</v>
      </c>
      <c r="F41" s="38" t="s">
        <v>55</v>
      </c>
      <c r="G41" s="178"/>
    </row>
    <row r="43" spans="1:7" ht="19.5" x14ac:dyDescent="0.25">
      <c r="A43" s="193" t="s">
        <v>352</v>
      </c>
      <c r="B43" s="193"/>
      <c r="C43" s="193"/>
      <c r="D43" s="193"/>
      <c r="E43" s="193"/>
      <c r="F43" s="193"/>
    </row>
    <row r="44" spans="1:7" ht="24.75" customHeight="1" x14ac:dyDescent="0.25">
      <c r="A44" s="177" t="s">
        <v>365</v>
      </c>
      <c r="B44" s="177"/>
      <c r="C44" s="177"/>
      <c r="D44" s="177"/>
      <c r="E44" s="8" t="s">
        <v>356</v>
      </c>
      <c r="F44" s="178" t="s">
        <v>357</v>
      </c>
      <c r="G44" s="178"/>
    </row>
    <row r="45" spans="1:7" ht="37.5" customHeight="1" x14ac:dyDescent="0.25">
      <c r="A45" s="178"/>
      <c r="B45" s="178"/>
      <c r="C45" s="178"/>
      <c r="D45" s="178"/>
      <c r="E45" s="42" t="s">
        <v>355</v>
      </c>
      <c r="F45" s="190" t="s">
        <v>358</v>
      </c>
      <c r="G45" s="190"/>
    </row>
    <row r="46" spans="1:7" ht="30" customHeight="1" x14ac:dyDescent="0.25">
      <c r="A46" s="178"/>
      <c r="B46" s="178"/>
      <c r="C46" s="178"/>
      <c r="D46" s="178"/>
      <c r="E46" s="42" t="s">
        <v>359</v>
      </c>
      <c r="F46" s="190" t="s">
        <v>360</v>
      </c>
      <c r="G46" s="190"/>
    </row>
    <row r="47" spans="1:7" ht="42" customHeight="1" x14ac:dyDescent="0.25">
      <c r="A47" s="178"/>
      <c r="B47" s="178"/>
      <c r="C47" s="178"/>
      <c r="D47" s="178"/>
      <c r="E47" s="42" t="s">
        <v>361</v>
      </c>
      <c r="F47" s="190" t="s">
        <v>362</v>
      </c>
      <c r="G47" s="190"/>
    </row>
    <row r="48" spans="1:7" ht="43.5" customHeight="1" x14ac:dyDescent="0.25">
      <c r="A48" s="178"/>
      <c r="B48" s="178"/>
      <c r="C48" s="178"/>
      <c r="D48" s="178"/>
      <c r="E48" s="42" t="s">
        <v>363</v>
      </c>
      <c r="F48" s="195" t="s">
        <v>364</v>
      </c>
      <c r="G48" s="195"/>
    </row>
    <row r="49" spans="1:7" ht="33.75" customHeight="1" x14ac:dyDescent="0.25">
      <c r="A49" s="178"/>
      <c r="B49" s="178"/>
      <c r="C49" s="178"/>
      <c r="D49" s="178"/>
      <c r="E49" s="42" t="s">
        <v>366</v>
      </c>
      <c r="F49" s="195"/>
      <c r="G49" s="195"/>
    </row>
    <row r="50" spans="1:7" x14ac:dyDescent="0.25">
      <c r="E50" s="21"/>
      <c r="F50" s="194" t="s">
        <v>354</v>
      </c>
      <c r="G50" s="194"/>
    </row>
    <row r="51" spans="1:7" x14ac:dyDescent="0.25">
      <c r="E51" s="21"/>
      <c r="F51" s="194" t="s">
        <v>354</v>
      </c>
      <c r="G51" s="194"/>
    </row>
    <row r="52" spans="1:7" x14ac:dyDescent="0.25">
      <c r="E52" s="6"/>
    </row>
    <row r="53" spans="1:7" x14ac:dyDescent="0.25">
      <c r="E53" s="6"/>
    </row>
  </sheetData>
  <mergeCells count="77">
    <mergeCell ref="O2:X10"/>
    <mergeCell ref="I12:N12"/>
    <mergeCell ref="O13:X23"/>
    <mergeCell ref="I13:K18"/>
    <mergeCell ref="L13:N18"/>
    <mergeCell ref="I19:K19"/>
    <mergeCell ref="L19:N19"/>
    <mergeCell ref="I20:K20"/>
    <mergeCell ref="L20:N20"/>
    <mergeCell ref="I21:N23"/>
    <mergeCell ref="J6:K6"/>
    <mergeCell ref="J7:K7"/>
    <mergeCell ref="J8:K8"/>
    <mergeCell ref="J9:K9"/>
    <mergeCell ref="J10:K10"/>
    <mergeCell ref="I1:N1"/>
    <mergeCell ref="J2:N2"/>
    <mergeCell ref="J3:K3"/>
    <mergeCell ref="J4:K4"/>
    <mergeCell ref="J5:K5"/>
    <mergeCell ref="F51:G51"/>
    <mergeCell ref="A44:D44"/>
    <mergeCell ref="A45:D49"/>
    <mergeCell ref="F48:G49"/>
    <mergeCell ref="F46:G46"/>
    <mergeCell ref="F47:G47"/>
    <mergeCell ref="F50:G50"/>
    <mergeCell ref="B17:C17"/>
    <mergeCell ref="F45:G45"/>
    <mergeCell ref="F44:G44"/>
    <mergeCell ref="B22:C22"/>
    <mergeCell ref="E22:F22"/>
    <mergeCell ref="B23:C23"/>
    <mergeCell ref="D23:F23"/>
    <mergeCell ref="G14:G23"/>
    <mergeCell ref="B16:C16"/>
    <mergeCell ref="B18:C18"/>
    <mergeCell ref="B20:C20"/>
    <mergeCell ref="A43:F43"/>
    <mergeCell ref="A1:F1"/>
    <mergeCell ref="B3:C3"/>
    <mergeCell ref="B4:C4"/>
    <mergeCell ref="B5:C5"/>
    <mergeCell ref="B6:C6"/>
    <mergeCell ref="B2:F2"/>
    <mergeCell ref="B7:C7"/>
    <mergeCell ref="B38:C38"/>
    <mergeCell ref="B39:C39"/>
    <mergeCell ref="B40:C40"/>
    <mergeCell ref="B41:C41"/>
    <mergeCell ref="A34:F34"/>
    <mergeCell ref="B35:F35"/>
    <mergeCell ref="B36:C36"/>
    <mergeCell ref="D36:F36"/>
    <mergeCell ref="B37:C37"/>
    <mergeCell ref="B31:C31"/>
    <mergeCell ref="B32:C32"/>
    <mergeCell ref="B26:F26"/>
    <mergeCell ref="B27:C27"/>
    <mergeCell ref="B28:C28"/>
    <mergeCell ref="B29:C29"/>
    <mergeCell ref="D8:D10"/>
    <mergeCell ref="B8:C10"/>
    <mergeCell ref="G35:G41"/>
    <mergeCell ref="G26:G32"/>
    <mergeCell ref="D27:F27"/>
    <mergeCell ref="B30:C30"/>
    <mergeCell ref="A12:F12"/>
    <mergeCell ref="A25:F25"/>
    <mergeCell ref="D16:F16"/>
    <mergeCell ref="D18:F18"/>
    <mergeCell ref="D20:F20"/>
    <mergeCell ref="B19:C19"/>
    <mergeCell ref="B14:C14"/>
    <mergeCell ref="B21:C21"/>
    <mergeCell ref="B13:F13"/>
    <mergeCell ref="B15:C15"/>
  </mergeCells>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70AB81-45D4-4E58-BB00-0246B4C9BD4F}">
  <dimension ref="A2:T26"/>
  <sheetViews>
    <sheetView topLeftCell="A19" workbookViewId="0">
      <selection activeCell="A21" sqref="A21:O21"/>
    </sheetView>
  </sheetViews>
  <sheetFormatPr defaultRowHeight="15" x14ac:dyDescent="0.25"/>
  <cols>
    <col min="3" max="3" width="12.5703125" customWidth="1"/>
    <col min="4" max="4" width="14.28515625" customWidth="1"/>
    <col min="5" max="6" width="11.7109375" customWidth="1"/>
    <col min="7" max="7" width="12.140625" customWidth="1"/>
    <col min="8" max="8" width="12" customWidth="1"/>
    <col min="9" max="11" width="11.7109375" customWidth="1"/>
    <col min="12" max="12" width="12" customWidth="1"/>
    <col min="13" max="13" width="12.5703125" customWidth="1"/>
    <col min="14" max="14" width="13.42578125" customWidth="1"/>
    <col min="15" max="15" width="11.7109375" customWidth="1"/>
    <col min="16" max="16" width="12.28515625" customWidth="1"/>
    <col min="17" max="17" width="13.28515625" customWidth="1"/>
    <col min="18" max="19" width="12.5703125" customWidth="1"/>
    <col min="20" max="20" width="35.140625" customWidth="1"/>
  </cols>
  <sheetData>
    <row r="2" spans="1:20" x14ac:dyDescent="0.25">
      <c r="A2" s="6"/>
      <c r="B2" s="6"/>
      <c r="C2" s="425" t="s">
        <v>0</v>
      </c>
      <c r="D2" s="425"/>
      <c r="E2" s="425"/>
      <c r="F2" s="425"/>
      <c r="G2" s="425"/>
      <c r="H2" s="425"/>
      <c r="I2" s="425"/>
      <c r="J2" s="425"/>
      <c r="K2" s="8"/>
      <c r="L2" s="328" t="s">
        <v>1</v>
      </c>
      <c r="M2" s="328"/>
      <c r="N2" s="328"/>
      <c r="O2" s="328"/>
      <c r="P2" s="328"/>
      <c r="Q2" s="328"/>
      <c r="R2" s="328"/>
      <c r="S2" s="328"/>
    </row>
    <row r="3" spans="1:20" x14ac:dyDescent="0.25">
      <c r="A3" s="8"/>
      <c r="B3" s="8"/>
      <c r="C3" s="12">
        <v>1</v>
      </c>
      <c r="D3" s="12">
        <v>2</v>
      </c>
      <c r="E3" s="12">
        <v>3</v>
      </c>
      <c r="F3" s="12">
        <v>4</v>
      </c>
      <c r="G3" s="12">
        <v>5</v>
      </c>
      <c r="H3" s="12">
        <v>6</v>
      </c>
      <c r="I3" s="12">
        <v>7</v>
      </c>
      <c r="J3" s="12">
        <v>8</v>
      </c>
      <c r="K3" s="8"/>
      <c r="L3" s="13">
        <v>1</v>
      </c>
      <c r="M3" s="13">
        <v>2</v>
      </c>
      <c r="N3" s="13">
        <v>3</v>
      </c>
      <c r="O3" s="13">
        <v>4</v>
      </c>
      <c r="P3" s="13">
        <v>5</v>
      </c>
      <c r="Q3" s="13">
        <v>6</v>
      </c>
      <c r="R3" s="13">
        <v>7</v>
      </c>
      <c r="S3" s="13">
        <v>8</v>
      </c>
      <c r="T3" s="9"/>
    </row>
    <row r="4" spans="1:20" x14ac:dyDescent="0.25">
      <c r="A4" s="8"/>
      <c r="B4" s="8"/>
      <c r="C4" s="12" t="s">
        <v>2</v>
      </c>
      <c r="D4" s="12" t="s">
        <v>3</v>
      </c>
      <c r="E4" s="12" t="s">
        <v>4</v>
      </c>
      <c r="F4" s="12" t="s">
        <v>5</v>
      </c>
      <c r="G4" s="12" t="s">
        <v>6</v>
      </c>
      <c r="H4" s="12" t="s">
        <v>7</v>
      </c>
      <c r="I4" s="327" t="s">
        <v>8</v>
      </c>
      <c r="J4" s="327"/>
      <c r="K4" s="8"/>
      <c r="L4" s="13" t="s">
        <v>9</v>
      </c>
      <c r="M4" s="13" t="s">
        <v>10</v>
      </c>
      <c r="N4" s="13" t="s">
        <v>11</v>
      </c>
      <c r="O4" s="13" t="s">
        <v>12</v>
      </c>
      <c r="P4" s="13" t="s">
        <v>13</v>
      </c>
      <c r="Q4" s="13" t="s">
        <v>14</v>
      </c>
      <c r="R4" s="13" t="s">
        <v>15</v>
      </c>
      <c r="S4" s="13" t="s">
        <v>16</v>
      </c>
      <c r="T4" s="9"/>
    </row>
    <row r="5" spans="1:20" ht="33" customHeight="1" x14ac:dyDescent="0.25">
      <c r="A5" s="195" t="s">
        <v>17</v>
      </c>
      <c r="B5" s="8">
        <v>150</v>
      </c>
      <c r="C5" s="12">
        <v>39.6</v>
      </c>
      <c r="D5" s="12">
        <v>42.9</v>
      </c>
      <c r="E5" s="12">
        <v>39.6</v>
      </c>
      <c r="F5" s="12">
        <v>55.1</v>
      </c>
      <c r="G5" s="12">
        <v>53.1</v>
      </c>
      <c r="H5" s="12">
        <v>47</v>
      </c>
      <c r="I5" s="12">
        <v>24.4</v>
      </c>
      <c r="J5" s="12">
        <v>23.9</v>
      </c>
      <c r="K5" s="8"/>
      <c r="L5" s="13">
        <v>48.6</v>
      </c>
      <c r="M5" s="13">
        <v>56.1</v>
      </c>
      <c r="N5" s="13">
        <v>51.8</v>
      </c>
      <c r="O5" s="13">
        <v>53.3</v>
      </c>
      <c r="P5" s="13">
        <v>48.1</v>
      </c>
      <c r="Q5" s="13">
        <v>56.7</v>
      </c>
      <c r="R5" s="13">
        <v>52.5</v>
      </c>
      <c r="S5" s="13">
        <v>50.1</v>
      </c>
      <c r="T5" s="190" t="s">
        <v>35</v>
      </c>
    </row>
    <row r="6" spans="1:20" ht="33" customHeight="1" x14ac:dyDescent="0.25">
      <c r="A6" s="195"/>
      <c r="B6" s="8">
        <v>220</v>
      </c>
      <c r="C6" s="12">
        <v>38.6</v>
      </c>
      <c r="D6" s="12">
        <v>42.4</v>
      </c>
      <c r="E6" s="12">
        <v>39.200000000000003</v>
      </c>
      <c r="F6" s="12">
        <v>54.6</v>
      </c>
      <c r="G6" s="12">
        <v>52.7</v>
      </c>
      <c r="H6" s="12">
        <v>46.5</v>
      </c>
      <c r="I6" s="12">
        <v>24.6</v>
      </c>
      <c r="J6" s="12">
        <v>24.2</v>
      </c>
      <c r="K6" s="8"/>
      <c r="L6" s="13">
        <v>49.2</v>
      </c>
      <c r="M6" s="13">
        <v>55.9</v>
      </c>
      <c r="N6" s="13">
        <v>52</v>
      </c>
      <c r="O6" s="13">
        <v>52.9</v>
      </c>
      <c r="P6" s="13">
        <v>47.7</v>
      </c>
      <c r="Q6" s="13">
        <v>56.3</v>
      </c>
      <c r="R6" s="13">
        <v>52.1</v>
      </c>
      <c r="S6" s="13">
        <v>49.6</v>
      </c>
      <c r="T6" s="190"/>
    </row>
    <row r="7" spans="1:20" ht="33" customHeight="1" x14ac:dyDescent="0.25">
      <c r="A7" s="195"/>
      <c r="B7" s="8">
        <v>265</v>
      </c>
      <c r="C7" s="12">
        <v>39.1</v>
      </c>
      <c r="D7" s="12">
        <v>43.5</v>
      </c>
      <c r="E7" s="12">
        <v>39.4</v>
      </c>
      <c r="F7" s="12">
        <v>54.9</v>
      </c>
      <c r="G7" s="12">
        <v>53</v>
      </c>
      <c r="H7" s="12">
        <v>47</v>
      </c>
      <c r="I7" s="12">
        <v>24.3</v>
      </c>
      <c r="J7" s="12">
        <v>23.8</v>
      </c>
      <c r="K7" s="8"/>
      <c r="L7" s="13">
        <v>50.9</v>
      </c>
      <c r="M7" s="13">
        <v>56.2</v>
      </c>
      <c r="N7" s="13">
        <v>53.1</v>
      </c>
      <c r="O7" s="13">
        <v>53.3</v>
      </c>
      <c r="P7" s="13">
        <v>47.9</v>
      </c>
      <c r="Q7" s="13">
        <v>56.6</v>
      </c>
      <c r="R7" s="13">
        <v>52.3</v>
      </c>
      <c r="S7" s="13">
        <v>49.9</v>
      </c>
      <c r="T7" s="190"/>
    </row>
    <row r="8" spans="1:20" x14ac:dyDescent="0.25">
      <c r="A8" s="10"/>
      <c r="B8" s="8"/>
      <c r="C8" s="12"/>
      <c r="D8" s="12"/>
      <c r="E8" s="12"/>
      <c r="F8" s="12"/>
      <c r="G8" s="12"/>
      <c r="H8" s="12"/>
      <c r="I8" s="12"/>
      <c r="J8" s="12"/>
      <c r="K8" s="8"/>
      <c r="L8" s="13"/>
      <c r="M8" s="13"/>
      <c r="N8" s="13"/>
      <c r="O8" s="13"/>
      <c r="P8" s="13"/>
      <c r="Q8" s="13"/>
      <c r="R8" s="13"/>
      <c r="S8" s="13"/>
      <c r="T8" s="9"/>
    </row>
    <row r="9" spans="1:20" ht="33" customHeight="1" x14ac:dyDescent="0.25">
      <c r="A9" s="195" t="s">
        <v>18</v>
      </c>
      <c r="B9" s="8">
        <v>150</v>
      </c>
      <c r="C9" s="12">
        <v>64.7</v>
      </c>
      <c r="D9" s="12">
        <v>67.400000000000006</v>
      </c>
      <c r="E9" s="12">
        <v>70.2</v>
      </c>
      <c r="F9" s="12">
        <v>82.1</v>
      </c>
      <c r="G9" s="12">
        <v>81.2</v>
      </c>
      <c r="H9" s="12">
        <v>75.400000000000006</v>
      </c>
      <c r="I9" s="12">
        <v>50.3</v>
      </c>
      <c r="J9" s="12">
        <v>50.8</v>
      </c>
      <c r="K9" s="8"/>
      <c r="L9" s="13">
        <v>71.8</v>
      </c>
      <c r="M9" s="13">
        <v>80</v>
      </c>
      <c r="N9" s="13">
        <v>75</v>
      </c>
      <c r="O9" s="13">
        <v>77.7</v>
      </c>
      <c r="P9" s="13">
        <v>73.900000000000006</v>
      </c>
      <c r="Q9" s="13">
        <v>81.3</v>
      </c>
      <c r="R9" s="13">
        <v>77.2</v>
      </c>
      <c r="S9" s="13">
        <v>75.400000000000006</v>
      </c>
      <c r="T9" s="9"/>
    </row>
    <row r="10" spans="1:20" ht="150" x14ac:dyDescent="0.25">
      <c r="A10" s="195"/>
      <c r="B10" s="8">
        <v>220</v>
      </c>
      <c r="C10" s="12">
        <v>64.599999999999994</v>
      </c>
      <c r="D10" s="12">
        <v>68.5</v>
      </c>
      <c r="E10" s="12">
        <v>70.900000000000006</v>
      </c>
      <c r="F10" s="12">
        <v>82.5</v>
      </c>
      <c r="G10" s="12">
        <v>82.3</v>
      </c>
      <c r="H10" s="12">
        <v>76</v>
      </c>
      <c r="I10" s="12">
        <v>50.6</v>
      </c>
      <c r="J10" s="12">
        <v>51.2</v>
      </c>
      <c r="K10" s="8"/>
      <c r="L10" s="13">
        <v>73.400000000000006</v>
      </c>
      <c r="M10" s="13">
        <v>80.099999999999994</v>
      </c>
      <c r="N10" s="13">
        <v>76.3</v>
      </c>
      <c r="O10" s="13">
        <v>78</v>
      </c>
      <c r="P10" s="13">
        <v>74.099999999999994</v>
      </c>
      <c r="Q10" s="13">
        <v>81.5</v>
      </c>
      <c r="R10" s="13">
        <v>77.599999999999994</v>
      </c>
      <c r="S10" s="13">
        <v>76</v>
      </c>
      <c r="T10" s="11" t="s">
        <v>31</v>
      </c>
    </row>
    <row r="11" spans="1:20" ht="40.5" customHeight="1" x14ac:dyDescent="0.25">
      <c r="A11" s="195"/>
      <c r="B11" s="8">
        <v>265</v>
      </c>
      <c r="C11" s="12">
        <v>65.7</v>
      </c>
      <c r="D11" s="12">
        <v>70.5</v>
      </c>
      <c r="E11" s="12">
        <v>71.8</v>
      </c>
      <c r="F11" s="12">
        <v>83.9</v>
      </c>
      <c r="G11" s="12">
        <v>82.5</v>
      </c>
      <c r="H11" s="12">
        <v>77.7</v>
      </c>
      <c r="I11" s="12">
        <v>50.7</v>
      </c>
      <c r="J11" s="12">
        <v>51.1</v>
      </c>
      <c r="K11" s="8"/>
      <c r="L11" s="13">
        <v>75.900000000000006</v>
      </c>
      <c r="M11" s="13">
        <v>81.900000000000006</v>
      </c>
      <c r="N11" s="13">
        <v>78.7</v>
      </c>
      <c r="O11" s="13">
        <v>79.8</v>
      </c>
      <c r="P11" s="13">
        <v>75.599999999999994</v>
      </c>
      <c r="Q11" s="13">
        <v>83.2</v>
      </c>
      <c r="R11" s="13">
        <v>78.7</v>
      </c>
      <c r="S11" s="13">
        <v>77</v>
      </c>
      <c r="T11" s="9"/>
    </row>
    <row r="13" spans="1:20" x14ac:dyDescent="0.25">
      <c r="A13" s="178" t="s">
        <v>30</v>
      </c>
      <c r="B13" s="178"/>
      <c r="C13" s="178"/>
      <c r="D13" s="178"/>
      <c r="E13" s="178"/>
      <c r="F13" s="178"/>
      <c r="G13" s="178"/>
      <c r="I13" s="178" t="s">
        <v>32</v>
      </c>
      <c r="J13" s="178"/>
      <c r="K13" s="178"/>
      <c r="L13" s="178"/>
      <c r="M13" s="178"/>
      <c r="N13" s="178"/>
      <c r="O13" s="178"/>
    </row>
    <row r="14" spans="1:20" x14ac:dyDescent="0.25">
      <c r="A14" s="9"/>
      <c r="B14" s="9"/>
      <c r="C14" s="8" t="s">
        <v>19</v>
      </c>
      <c r="D14" s="8" t="s">
        <v>20</v>
      </c>
      <c r="E14" s="177" t="s">
        <v>21</v>
      </c>
      <c r="F14" s="177"/>
      <c r="G14" s="8" t="s">
        <v>22</v>
      </c>
      <c r="I14" s="9"/>
      <c r="J14" s="9"/>
      <c r="K14" s="8" t="s">
        <v>19</v>
      </c>
      <c r="L14" s="8" t="s">
        <v>20</v>
      </c>
      <c r="M14" s="177" t="s">
        <v>21</v>
      </c>
      <c r="N14" s="177"/>
      <c r="O14" s="8" t="s">
        <v>22</v>
      </c>
    </row>
    <row r="15" spans="1:20" ht="21.75" customHeight="1" x14ac:dyDescent="0.25">
      <c r="A15" s="177" t="s">
        <v>23</v>
      </c>
      <c r="B15" s="177"/>
      <c r="C15" s="8" t="s">
        <v>27</v>
      </c>
      <c r="D15" s="8" t="s">
        <v>27</v>
      </c>
      <c r="E15" s="203" t="s">
        <v>33</v>
      </c>
      <c r="F15" s="190"/>
      <c r="G15" s="8" t="s">
        <v>27</v>
      </c>
      <c r="I15" s="177" t="s">
        <v>23</v>
      </c>
      <c r="J15" s="177"/>
      <c r="K15" s="8" t="s">
        <v>27</v>
      </c>
      <c r="L15" s="8" t="s">
        <v>27</v>
      </c>
      <c r="M15" s="203" t="s">
        <v>43</v>
      </c>
      <c r="N15" s="190"/>
      <c r="O15" s="8" t="s">
        <v>27</v>
      </c>
    </row>
    <row r="16" spans="1:20" ht="136.5" customHeight="1" x14ac:dyDescent="0.25">
      <c r="A16" s="177" t="s">
        <v>24</v>
      </c>
      <c r="B16" s="177"/>
      <c r="C16" s="8" t="s">
        <v>27</v>
      </c>
      <c r="D16" s="8" t="s">
        <v>27</v>
      </c>
      <c r="E16" s="190"/>
      <c r="F16" s="190"/>
      <c r="G16" s="8" t="s">
        <v>27</v>
      </c>
      <c r="I16" s="177" t="s">
        <v>24</v>
      </c>
      <c r="J16" s="177"/>
      <c r="K16" s="8" t="s">
        <v>27</v>
      </c>
      <c r="L16" s="8" t="s">
        <v>27</v>
      </c>
      <c r="M16" s="190"/>
      <c r="N16" s="190"/>
      <c r="O16" s="8" t="s">
        <v>27</v>
      </c>
    </row>
    <row r="17" spans="1:20" ht="27.75" customHeight="1" x14ac:dyDescent="0.25">
      <c r="A17" s="177" t="s">
        <v>26</v>
      </c>
      <c r="B17" s="177"/>
      <c r="C17" s="8" t="s">
        <v>28</v>
      </c>
      <c r="D17" s="8" t="s">
        <v>28</v>
      </c>
      <c r="E17" s="177" t="s">
        <v>29</v>
      </c>
      <c r="F17" s="177"/>
      <c r="G17" s="8" t="s">
        <v>28</v>
      </c>
      <c r="I17" s="177" t="s">
        <v>26</v>
      </c>
      <c r="J17" s="177"/>
      <c r="K17" s="8" t="s">
        <v>28</v>
      </c>
      <c r="L17" s="8" t="s">
        <v>28</v>
      </c>
      <c r="M17" s="177" t="s">
        <v>29</v>
      </c>
      <c r="N17" s="177"/>
      <c r="O17" s="8" t="s">
        <v>28</v>
      </c>
    </row>
    <row r="18" spans="1:20" ht="30" customHeight="1" x14ac:dyDescent="0.25">
      <c r="A18" s="177" t="s">
        <v>25</v>
      </c>
      <c r="B18" s="177"/>
      <c r="C18" s="8" t="s">
        <v>29</v>
      </c>
      <c r="D18" s="8" t="s">
        <v>29</v>
      </c>
      <c r="E18" s="177" t="s">
        <v>29</v>
      </c>
      <c r="F18" s="177"/>
      <c r="G18" s="8" t="s">
        <v>29</v>
      </c>
      <c r="I18" s="177" t="s">
        <v>25</v>
      </c>
      <c r="J18" s="177"/>
      <c r="K18" s="8" t="s">
        <v>29</v>
      </c>
      <c r="L18" s="8" t="s">
        <v>29</v>
      </c>
      <c r="M18" s="177" t="s">
        <v>29</v>
      </c>
      <c r="N18" s="177"/>
      <c r="O18" s="8" t="s">
        <v>29</v>
      </c>
    </row>
    <row r="20" spans="1:20" ht="180.75" customHeight="1" x14ac:dyDescent="0.25">
      <c r="A20" s="174" t="s">
        <v>34</v>
      </c>
      <c r="B20" s="174"/>
      <c r="C20" s="174"/>
      <c r="D20" s="174"/>
      <c r="E20" s="174"/>
      <c r="F20" s="174"/>
      <c r="G20" s="174"/>
      <c r="H20" s="174"/>
      <c r="I20" s="174"/>
      <c r="J20" s="14"/>
      <c r="K20" s="14"/>
      <c r="L20" s="14"/>
      <c r="M20" s="14"/>
      <c r="N20" s="14"/>
      <c r="O20" s="14"/>
      <c r="T20" s="7" t="s">
        <v>36</v>
      </c>
    </row>
    <row r="21" spans="1:20" ht="153.75" customHeight="1" x14ac:dyDescent="0.25">
      <c r="A21" s="426" t="s">
        <v>37</v>
      </c>
      <c r="B21" s="175"/>
      <c r="C21" s="175"/>
      <c r="D21" s="175"/>
      <c r="E21" s="175"/>
      <c r="F21" s="175"/>
      <c r="G21" s="175"/>
      <c r="H21" s="175"/>
      <c r="I21" s="175"/>
      <c r="J21" s="175"/>
      <c r="K21" s="175"/>
      <c r="L21" s="175"/>
      <c r="M21" s="175"/>
      <c r="N21" s="175"/>
      <c r="O21" s="175"/>
    </row>
    <row r="22" spans="1:20" ht="159.75" customHeight="1" x14ac:dyDescent="0.25">
      <c r="A22" s="426" t="s">
        <v>38</v>
      </c>
      <c r="B22" s="175"/>
      <c r="C22" s="175"/>
      <c r="D22" s="175"/>
      <c r="E22" s="175"/>
      <c r="F22" s="175"/>
      <c r="G22" s="175"/>
      <c r="H22" s="175"/>
      <c r="I22" s="175"/>
      <c r="J22" s="175"/>
      <c r="K22" s="175"/>
      <c r="L22" s="175"/>
      <c r="M22" s="175"/>
      <c r="N22" s="175"/>
      <c r="O22" s="175"/>
    </row>
    <row r="25" spans="1:20" x14ac:dyDescent="0.25">
      <c r="B25" t="s">
        <v>39</v>
      </c>
      <c r="C25" t="s">
        <v>40</v>
      </c>
    </row>
    <row r="26" spans="1:20" x14ac:dyDescent="0.25">
      <c r="B26" t="s">
        <v>41</v>
      </c>
      <c r="C26" t="s">
        <v>42</v>
      </c>
    </row>
  </sheetData>
  <mergeCells count="27">
    <mergeCell ref="A21:O21"/>
    <mergeCell ref="A22:O22"/>
    <mergeCell ref="I17:J17"/>
    <mergeCell ref="M17:N17"/>
    <mergeCell ref="I18:J18"/>
    <mergeCell ref="M18:N18"/>
    <mergeCell ref="A20:I20"/>
    <mergeCell ref="A17:B17"/>
    <mergeCell ref="A18:B18"/>
    <mergeCell ref="E17:F17"/>
    <mergeCell ref="E18:F18"/>
    <mergeCell ref="E15:F16"/>
    <mergeCell ref="A13:G13"/>
    <mergeCell ref="I13:O13"/>
    <mergeCell ref="M14:N14"/>
    <mergeCell ref="I15:J15"/>
    <mergeCell ref="M15:N16"/>
    <mergeCell ref="I16:J16"/>
    <mergeCell ref="A15:B15"/>
    <mergeCell ref="A16:B16"/>
    <mergeCell ref="E14:F14"/>
    <mergeCell ref="T5:T7"/>
    <mergeCell ref="I4:J4"/>
    <mergeCell ref="A5:A7"/>
    <mergeCell ref="A9:A11"/>
    <mergeCell ref="C2:J2"/>
    <mergeCell ref="L2:S2"/>
  </mergeCells>
  <phoneticPr fontId="3"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0B1FA1-39BF-4C2D-88C1-9B3ACE148762}">
  <dimension ref="B1:W35"/>
  <sheetViews>
    <sheetView zoomScale="85" zoomScaleNormal="85" workbookViewId="0">
      <selection activeCell="Y16" sqref="Y16"/>
    </sheetView>
  </sheetViews>
  <sheetFormatPr defaultRowHeight="15" x14ac:dyDescent="0.25"/>
  <sheetData>
    <row r="1" spans="2:23" ht="31.5" x14ac:dyDescent="0.5">
      <c r="B1" s="209" t="s">
        <v>475</v>
      </c>
      <c r="C1" s="209"/>
      <c r="D1" s="209"/>
      <c r="E1" s="209"/>
      <c r="F1" s="209"/>
      <c r="G1" s="209"/>
      <c r="H1" s="209"/>
      <c r="J1" s="207" t="s">
        <v>476</v>
      </c>
      <c r="K1" s="208"/>
      <c r="L1" s="208"/>
      <c r="M1" s="208"/>
      <c r="N1" s="208"/>
      <c r="O1" s="208"/>
      <c r="P1" s="208"/>
      <c r="Q1" s="208"/>
      <c r="R1" s="208"/>
      <c r="S1" s="208"/>
      <c r="T1" s="208"/>
      <c r="U1" s="208"/>
      <c r="V1" s="208"/>
      <c r="W1" s="208"/>
    </row>
    <row r="2" spans="2:23" x14ac:dyDescent="0.25">
      <c r="B2" s="178"/>
      <c r="C2" s="178"/>
      <c r="D2" s="178"/>
      <c r="E2" s="178"/>
      <c r="F2" s="178"/>
      <c r="G2" s="178"/>
      <c r="H2" s="178"/>
      <c r="J2" s="210"/>
      <c r="K2" s="211"/>
      <c r="L2" s="211"/>
      <c r="M2" s="211"/>
      <c r="N2" s="211"/>
      <c r="O2" s="211"/>
      <c r="P2" s="211"/>
      <c r="Q2" s="211"/>
      <c r="R2" s="211"/>
      <c r="S2" s="211"/>
      <c r="T2" s="211"/>
      <c r="U2" s="211"/>
      <c r="V2" s="211"/>
      <c r="W2" s="212"/>
    </row>
    <row r="3" spans="2:23" x14ac:dyDescent="0.25">
      <c r="B3" s="178"/>
      <c r="C3" s="178"/>
      <c r="D3" s="178"/>
      <c r="E3" s="178"/>
      <c r="F3" s="178"/>
      <c r="G3" s="178"/>
      <c r="H3" s="178"/>
      <c r="J3" s="213"/>
      <c r="K3" s="214"/>
      <c r="L3" s="214"/>
      <c r="M3" s="214"/>
      <c r="N3" s="214"/>
      <c r="O3" s="214"/>
      <c r="P3" s="214"/>
      <c r="Q3" s="214"/>
      <c r="R3" s="214"/>
      <c r="S3" s="214"/>
      <c r="T3" s="214"/>
      <c r="U3" s="214"/>
      <c r="V3" s="214"/>
      <c r="W3" s="215"/>
    </row>
    <row r="4" spans="2:23" x14ac:dyDescent="0.25">
      <c r="B4" s="178"/>
      <c r="C4" s="178"/>
      <c r="D4" s="178"/>
      <c r="E4" s="178"/>
      <c r="F4" s="178"/>
      <c r="G4" s="178"/>
      <c r="H4" s="178"/>
      <c r="J4" s="213"/>
      <c r="K4" s="214"/>
      <c r="L4" s="214"/>
      <c r="M4" s="214"/>
      <c r="N4" s="214"/>
      <c r="O4" s="214"/>
      <c r="P4" s="214"/>
      <c r="Q4" s="214"/>
      <c r="R4" s="214"/>
      <c r="S4" s="214"/>
      <c r="T4" s="214"/>
      <c r="U4" s="214"/>
      <c r="V4" s="214"/>
      <c r="W4" s="215"/>
    </row>
    <row r="5" spans="2:23" x14ac:dyDescent="0.25">
      <c r="B5" s="178"/>
      <c r="C5" s="178"/>
      <c r="D5" s="178"/>
      <c r="E5" s="178"/>
      <c r="F5" s="178"/>
      <c r="G5" s="178"/>
      <c r="H5" s="178"/>
      <c r="J5" s="213"/>
      <c r="K5" s="214"/>
      <c r="L5" s="214"/>
      <c r="M5" s="214"/>
      <c r="N5" s="214"/>
      <c r="O5" s="214"/>
      <c r="P5" s="214"/>
      <c r="Q5" s="214"/>
      <c r="R5" s="214"/>
      <c r="S5" s="214"/>
      <c r="T5" s="214"/>
      <c r="U5" s="214"/>
      <c r="V5" s="214"/>
      <c r="W5" s="215"/>
    </row>
    <row r="6" spans="2:23" x14ac:dyDescent="0.25">
      <c r="B6" s="178"/>
      <c r="C6" s="178"/>
      <c r="D6" s="178"/>
      <c r="E6" s="178"/>
      <c r="F6" s="178"/>
      <c r="G6" s="178"/>
      <c r="H6" s="178"/>
      <c r="J6" s="213"/>
      <c r="K6" s="214"/>
      <c r="L6" s="214"/>
      <c r="M6" s="214"/>
      <c r="N6" s="214"/>
      <c r="O6" s="214"/>
      <c r="P6" s="214"/>
      <c r="Q6" s="214"/>
      <c r="R6" s="214"/>
      <c r="S6" s="214"/>
      <c r="T6" s="214"/>
      <c r="U6" s="214"/>
      <c r="V6" s="214"/>
      <c r="W6" s="215"/>
    </row>
    <row r="7" spans="2:23" x14ac:dyDescent="0.25">
      <c r="B7" s="178"/>
      <c r="C7" s="178"/>
      <c r="D7" s="178"/>
      <c r="E7" s="178"/>
      <c r="F7" s="178"/>
      <c r="G7" s="178"/>
      <c r="H7" s="178"/>
      <c r="J7" s="213"/>
      <c r="K7" s="214"/>
      <c r="L7" s="214"/>
      <c r="M7" s="214"/>
      <c r="N7" s="214"/>
      <c r="O7" s="214"/>
      <c r="P7" s="214"/>
      <c r="Q7" s="214"/>
      <c r="R7" s="214"/>
      <c r="S7" s="214"/>
      <c r="T7" s="214"/>
      <c r="U7" s="214"/>
      <c r="V7" s="214"/>
      <c r="W7" s="215"/>
    </row>
    <row r="8" spans="2:23" x14ac:dyDescent="0.25">
      <c r="B8" s="178"/>
      <c r="C8" s="178"/>
      <c r="D8" s="178"/>
      <c r="E8" s="178"/>
      <c r="F8" s="178"/>
      <c r="G8" s="178"/>
      <c r="H8" s="178"/>
      <c r="J8" s="213"/>
      <c r="K8" s="214"/>
      <c r="L8" s="214"/>
      <c r="M8" s="214"/>
      <c r="N8" s="214"/>
      <c r="O8" s="214"/>
      <c r="P8" s="214"/>
      <c r="Q8" s="214"/>
      <c r="R8" s="214"/>
      <c r="S8" s="214"/>
      <c r="T8" s="214"/>
      <c r="U8" s="214"/>
      <c r="V8" s="214"/>
      <c r="W8" s="215"/>
    </row>
    <row r="9" spans="2:23" x14ac:dyDescent="0.25">
      <c r="B9" s="178"/>
      <c r="C9" s="178"/>
      <c r="D9" s="178"/>
      <c r="E9" s="178"/>
      <c r="F9" s="178"/>
      <c r="G9" s="178"/>
      <c r="H9" s="178"/>
      <c r="J9" s="213"/>
      <c r="K9" s="214"/>
      <c r="L9" s="214"/>
      <c r="M9" s="214"/>
      <c r="N9" s="214"/>
      <c r="O9" s="214"/>
      <c r="P9" s="214"/>
      <c r="Q9" s="214"/>
      <c r="R9" s="214"/>
      <c r="S9" s="214"/>
      <c r="T9" s="214"/>
      <c r="U9" s="214"/>
      <c r="V9" s="214"/>
      <c r="W9" s="215"/>
    </row>
    <row r="10" spans="2:23" x14ac:dyDescent="0.25">
      <c r="B10" s="178"/>
      <c r="C10" s="178"/>
      <c r="D10" s="178"/>
      <c r="E10" s="178"/>
      <c r="F10" s="178"/>
      <c r="G10" s="178"/>
      <c r="H10" s="178"/>
      <c r="J10" s="213"/>
      <c r="K10" s="214"/>
      <c r="L10" s="214"/>
      <c r="M10" s="214"/>
      <c r="N10" s="214"/>
      <c r="O10" s="214"/>
      <c r="P10" s="214"/>
      <c r="Q10" s="214"/>
      <c r="R10" s="214"/>
      <c r="S10" s="214"/>
      <c r="T10" s="214"/>
      <c r="U10" s="214"/>
      <c r="V10" s="214"/>
      <c r="W10" s="215"/>
    </row>
    <row r="11" spans="2:23" x14ac:dyDescent="0.25">
      <c r="B11" s="178"/>
      <c r="C11" s="178"/>
      <c r="D11" s="178"/>
      <c r="E11" s="178"/>
      <c r="F11" s="178"/>
      <c r="G11" s="178"/>
      <c r="H11" s="178"/>
      <c r="J11" s="213"/>
      <c r="K11" s="214"/>
      <c r="L11" s="214"/>
      <c r="M11" s="214"/>
      <c r="N11" s="214"/>
      <c r="O11" s="214"/>
      <c r="P11" s="214"/>
      <c r="Q11" s="214"/>
      <c r="R11" s="214"/>
      <c r="S11" s="214"/>
      <c r="T11" s="214"/>
      <c r="U11" s="214"/>
      <c r="V11" s="214"/>
      <c r="W11" s="215"/>
    </row>
    <row r="12" spans="2:23" x14ac:dyDescent="0.25">
      <c r="B12" s="178"/>
      <c r="C12" s="178"/>
      <c r="D12" s="178"/>
      <c r="E12" s="178"/>
      <c r="F12" s="178"/>
      <c r="G12" s="178"/>
      <c r="H12" s="178"/>
      <c r="J12" s="213"/>
      <c r="K12" s="214"/>
      <c r="L12" s="214"/>
      <c r="M12" s="214"/>
      <c r="N12" s="214"/>
      <c r="O12" s="214"/>
      <c r="P12" s="214"/>
      <c r="Q12" s="214"/>
      <c r="R12" s="214"/>
      <c r="S12" s="214"/>
      <c r="T12" s="214"/>
      <c r="U12" s="214"/>
      <c r="V12" s="214"/>
      <c r="W12" s="215"/>
    </row>
    <row r="13" spans="2:23" x14ac:dyDescent="0.25">
      <c r="B13" s="178"/>
      <c r="C13" s="178"/>
      <c r="D13" s="178"/>
      <c r="E13" s="178"/>
      <c r="F13" s="178"/>
      <c r="G13" s="178"/>
      <c r="H13" s="178"/>
      <c r="J13" s="213"/>
      <c r="K13" s="214"/>
      <c r="L13" s="214"/>
      <c r="M13" s="214"/>
      <c r="N13" s="214"/>
      <c r="O13" s="214"/>
      <c r="P13" s="214"/>
      <c r="Q13" s="214"/>
      <c r="R13" s="214"/>
      <c r="S13" s="214"/>
      <c r="T13" s="214"/>
      <c r="U13" s="214"/>
      <c r="V13" s="214"/>
      <c r="W13" s="215"/>
    </row>
    <row r="14" spans="2:23" x14ac:dyDescent="0.25">
      <c r="B14" s="178"/>
      <c r="C14" s="178"/>
      <c r="D14" s="178"/>
      <c r="E14" s="178"/>
      <c r="F14" s="178"/>
      <c r="G14" s="178"/>
      <c r="H14" s="178"/>
      <c r="J14" s="213"/>
      <c r="K14" s="214"/>
      <c r="L14" s="214"/>
      <c r="M14" s="214"/>
      <c r="N14" s="214"/>
      <c r="O14" s="214"/>
      <c r="P14" s="214"/>
      <c r="Q14" s="214"/>
      <c r="R14" s="214"/>
      <c r="S14" s="214"/>
      <c r="T14" s="214"/>
      <c r="U14" s="214"/>
      <c r="V14" s="214"/>
      <c r="W14" s="215"/>
    </row>
    <row r="15" spans="2:23" x14ac:dyDescent="0.25">
      <c r="B15" s="178"/>
      <c r="C15" s="178"/>
      <c r="D15" s="178"/>
      <c r="E15" s="178"/>
      <c r="F15" s="178"/>
      <c r="G15" s="178"/>
      <c r="H15" s="178"/>
      <c r="J15" s="213"/>
      <c r="K15" s="214"/>
      <c r="L15" s="214"/>
      <c r="M15" s="214"/>
      <c r="N15" s="214"/>
      <c r="O15" s="214"/>
      <c r="P15" s="214"/>
      <c r="Q15" s="214"/>
      <c r="R15" s="214"/>
      <c r="S15" s="214"/>
      <c r="T15" s="214"/>
      <c r="U15" s="214"/>
      <c r="V15" s="214"/>
      <c r="W15" s="215"/>
    </row>
    <row r="16" spans="2:23" x14ac:dyDescent="0.25">
      <c r="B16" s="178"/>
      <c r="C16" s="178"/>
      <c r="D16" s="178"/>
      <c r="E16" s="178"/>
      <c r="F16" s="178"/>
      <c r="G16" s="178"/>
      <c r="H16" s="178"/>
      <c r="J16" s="213"/>
      <c r="K16" s="214"/>
      <c r="L16" s="214"/>
      <c r="M16" s="214"/>
      <c r="N16" s="214"/>
      <c r="O16" s="214"/>
      <c r="P16" s="214"/>
      <c r="Q16" s="214"/>
      <c r="R16" s="214"/>
      <c r="S16" s="214"/>
      <c r="T16" s="214"/>
      <c r="U16" s="214"/>
      <c r="V16" s="214"/>
      <c r="W16" s="215"/>
    </row>
    <row r="17" spans="2:23" x14ac:dyDescent="0.25">
      <c r="B17" s="178"/>
      <c r="C17" s="178"/>
      <c r="D17" s="178"/>
      <c r="E17" s="178"/>
      <c r="F17" s="178"/>
      <c r="G17" s="178"/>
      <c r="H17" s="178"/>
      <c r="J17" s="213"/>
      <c r="K17" s="214"/>
      <c r="L17" s="214"/>
      <c r="M17" s="214"/>
      <c r="N17" s="214"/>
      <c r="O17" s="214"/>
      <c r="P17" s="214"/>
      <c r="Q17" s="214"/>
      <c r="R17" s="214"/>
      <c r="S17" s="214"/>
      <c r="T17" s="214"/>
      <c r="U17" s="214"/>
      <c r="V17" s="214"/>
      <c r="W17" s="215"/>
    </row>
    <row r="18" spans="2:23" x14ac:dyDescent="0.25">
      <c r="B18" s="178"/>
      <c r="C18" s="178"/>
      <c r="D18" s="178"/>
      <c r="E18" s="178"/>
      <c r="F18" s="178"/>
      <c r="G18" s="178"/>
      <c r="H18" s="178"/>
      <c r="J18" s="213"/>
      <c r="K18" s="214"/>
      <c r="L18" s="214"/>
      <c r="M18" s="214"/>
      <c r="N18" s="214"/>
      <c r="O18" s="214"/>
      <c r="P18" s="214"/>
      <c r="Q18" s="214"/>
      <c r="R18" s="214"/>
      <c r="S18" s="214"/>
      <c r="T18" s="214"/>
      <c r="U18" s="214"/>
      <c r="V18" s="214"/>
      <c r="W18" s="215"/>
    </row>
    <row r="19" spans="2:23" x14ac:dyDescent="0.25">
      <c r="B19" s="178"/>
      <c r="C19" s="178"/>
      <c r="D19" s="178"/>
      <c r="E19" s="178"/>
      <c r="F19" s="178"/>
      <c r="G19" s="178"/>
      <c r="H19" s="178"/>
      <c r="J19" s="213"/>
      <c r="K19" s="214"/>
      <c r="L19" s="214"/>
      <c r="M19" s="214"/>
      <c r="N19" s="214"/>
      <c r="O19" s="214"/>
      <c r="P19" s="214"/>
      <c r="Q19" s="214"/>
      <c r="R19" s="214"/>
      <c r="S19" s="214"/>
      <c r="T19" s="214"/>
      <c r="U19" s="214"/>
      <c r="V19" s="214"/>
      <c r="W19" s="215"/>
    </row>
    <row r="20" spans="2:23" ht="27" x14ac:dyDescent="0.35">
      <c r="B20" s="209" t="s">
        <v>475</v>
      </c>
      <c r="C20" s="209"/>
      <c r="D20" s="209"/>
      <c r="E20" s="209"/>
      <c r="F20" s="209"/>
      <c r="G20" s="209"/>
      <c r="H20" s="209"/>
      <c r="J20" s="213"/>
      <c r="K20" s="214"/>
      <c r="L20" s="214"/>
      <c r="M20" s="214"/>
      <c r="N20" s="214"/>
      <c r="O20" s="214"/>
      <c r="P20" s="214"/>
      <c r="Q20" s="214"/>
      <c r="R20" s="214"/>
      <c r="S20" s="214"/>
      <c r="T20" s="214"/>
      <c r="U20" s="214"/>
      <c r="V20" s="214"/>
      <c r="W20" s="215"/>
    </row>
    <row r="21" spans="2:23" x14ac:dyDescent="0.25">
      <c r="B21" s="178"/>
      <c r="C21" s="178"/>
      <c r="D21" s="178"/>
      <c r="E21" s="178"/>
      <c r="F21" s="178"/>
      <c r="G21" s="178"/>
      <c r="H21" s="178"/>
      <c r="J21" s="216"/>
      <c r="K21" s="217"/>
      <c r="L21" s="217"/>
      <c r="M21" s="217"/>
      <c r="N21" s="217"/>
      <c r="O21" s="217"/>
      <c r="P21" s="217"/>
      <c r="Q21" s="217"/>
      <c r="R21" s="217"/>
      <c r="S21" s="217"/>
      <c r="T21" s="217"/>
      <c r="U21" s="217"/>
      <c r="V21" s="217"/>
      <c r="W21" s="218"/>
    </row>
    <row r="22" spans="2:23" ht="31.5" x14ac:dyDescent="0.5">
      <c r="B22" s="178"/>
      <c r="C22" s="178"/>
      <c r="D22" s="178"/>
      <c r="E22" s="178"/>
      <c r="F22" s="178"/>
      <c r="G22" s="178"/>
      <c r="H22" s="178"/>
      <c r="J22" s="207" t="s">
        <v>477</v>
      </c>
      <c r="K22" s="208"/>
      <c r="L22" s="208"/>
      <c r="M22" s="208"/>
      <c r="N22" s="208"/>
      <c r="O22" s="208"/>
      <c r="P22" s="208"/>
      <c r="Q22" s="208"/>
      <c r="R22" s="208"/>
      <c r="S22" s="208"/>
      <c r="T22" s="208"/>
      <c r="U22" s="208"/>
      <c r="V22" s="208"/>
      <c r="W22" s="208"/>
    </row>
    <row r="23" spans="2:23" x14ac:dyDescent="0.25">
      <c r="B23" s="178"/>
      <c r="C23" s="178"/>
      <c r="D23" s="178"/>
      <c r="E23" s="178"/>
      <c r="F23" s="178"/>
      <c r="G23" s="178"/>
      <c r="H23" s="178"/>
      <c r="J23" s="178"/>
      <c r="K23" s="178"/>
      <c r="L23" s="178"/>
      <c r="M23" s="178"/>
      <c r="N23" s="178"/>
      <c r="O23" s="178"/>
      <c r="P23" s="178"/>
      <c r="Q23" s="178"/>
      <c r="R23" s="178"/>
      <c r="S23" s="178"/>
      <c r="T23" s="178"/>
      <c r="U23" s="178"/>
      <c r="V23" s="178"/>
      <c r="W23" s="178"/>
    </row>
    <row r="24" spans="2:23" x14ac:dyDescent="0.25">
      <c r="B24" s="178"/>
      <c r="C24" s="178"/>
      <c r="D24" s="178"/>
      <c r="E24" s="178"/>
      <c r="F24" s="178"/>
      <c r="G24" s="178"/>
      <c r="H24" s="178"/>
      <c r="J24" s="178"/>
      <c r="K24" s="178"/>
      <c r="L24" s="178"/>
      <c r="M24" s="178"/>
      <c r="N24" s="178"/>
      <c r="O24" s="178"/>
      <c r="P24" s="178"/>
      <c r="Q24" s="178"/>
      <c r="R24" s="178"/>
      <c r="S24" s="178"/>
      <c r="T24" s="178"/>
      <c r="U24" s="178"/>
      <c r="V24" s="178"/>
      <c r="W24" s="178"/>
    </row>
    <row r="25" spans="2:23" x14ac:dyDescent="0.25">
      <c r="B25" s="178"/>
      <c r="C25" s="178"/>
      <c r="D25" s="178"/>
      <c r="E25" s="178"/>
      <c r="F25" s="178"/>
      <c r="G25" s="178"/>
      <c r="H25" s="178"/>
      <c r="J25" s="178"/>
      <c r="K25" s="178"/>
      <c r="L25" s="178"/>
      <c r="M25" s="178"/>
      <c r="N25" s="178"/>
      <c r="O25" s="178"/>
      <c r="P25" s="178"/>
      <c r="Q25" s="178"/>
      <c r="R25" s="178"/>
      <c r="S25" s="178"/>
      <c r="T25" s="178"/>
      <c r="U25" s="178"/>
      <c r="V25" s="178"/>
      <c r="W25" s="178"/>
    </row>
    <row r="26" spans="2:23" x14ac:dyDescent="0.25">
      <c r="B26" s="178"/>
      <c r="C26" s="178"/>
      <c r="D26" s="178"/>
      <c r="E26" s="178"/>
      <c r="F26" s="178"/>
      <c r="G26" s="178"/>
      <c r="H26" s="178"/>
      <c r="J26" s="178"/>
      <c r="K26" s="178"/>
      <c r="L26" s="178"/>
      <c r="M26" s="178"/>
      <c r="N26" s="178"/>
      <c r="O26" s="178"/>
      <c r="P26" s="178"/>
      <c r="Q26" s="178"/>
      <c r="R26" s="178"/>
      <c r="S26" s="178"/>
      <c r="T26" s="178"/>
      <c r="U26" s="178"/>
      <c r="V26" s="178"/>
      <c r="W26" s="178"/>
    </row>
    <row r="27" spans="2:23" x14ac:dyDescent="0.25">
      <c r="B27" s="178"/>
      <c r="C27" s="178"/>
      <c r="D27" s="178"/>
      <c r="E27" s="178"/>
      <c r="F27" s="178"/>
      <c r="G27" s="178"/>
      <c r="H27" s="178"/>
      <c r="J27" s="178"/>
      <c r="K27" s="178"/>
      <c r="L27" s="178"/>
      <c r="M27" s="178"/>
      <c r="N27" s="178"/>
      <c r="O27" s="178"/>
      <c r="P27" s="178"/>
      <c r="Q27" s="178"/>
      <c r="R27" s="178"/>
      <c r="S27" s="178"/>
      <c r="T27" s="178"/>
      <c r="U27" s="178"/>
      <c r="V27" s="178"/>
      <c r="W27" s="178"/>
    </row>
    <row r="28" spans="2:23" x14ac:dyDescent="0.25">
      <c r="B28" s="178"/>
      <c r="C28" s="178"/>
      <c r="D28" s="178"/>
      <c r="E28" s="178"/>
      <c r="F28" s="178"/>
      <c r="G28" s="178"/>
      <c r="H28" s="178"/>
      <c r="J28" s="178"/>
      <c r="K28" s="178"/>
      <c r="L28" s="178"/>
      <c r="M28" s="178"/>
      <c r="N28" s="178"/>
      <c r="O28" s="178"/>
      <c r="P28" s="178"/>
      <c r="Q28" s="178"/>
      <c r="R28" s="178"/>
      <c r="S28" s="178"/>
      <c r="T28" s="178"/>
      <c r="U28" s="178"/>
      <c r="V28" s="178"/>
      <c r="W28" s="178"/>
    </row>
    <row r="29" spans="2:23" x14ac:dyDescent="0.25">
      <c r="B29" s="178"/>
      <c r="C29" s="178"/>
      <c r="D29" s="178"/>
      <c r="E29" s="178"/>
      <c r="F29" s="178"/>
      <c r="G29" s="178"/>
      <c r="H29" s="178"/>
      <c r="J29" s="178"/>
      <c r="K29" s="178"/>
      <c r="L29" s="178"/>
      <c r="M29" s="178"/>
      <c r="N29" s="178"/>
      <c r="O29" s="178"/>
      <c r="P29" s="178"/>
      <c r="Q29" s="178"/>
      <c r="R29" s="178"/>
      <c r="S29" s="178"/>
      <c r="T29" s="178"/>
      <c r="U29" s="178"/>
      <c r="V29" s="178"/>
      <c r="W29" s="178"/>
    </row>
    <row r="30" spans="2:23" x14ac:dyDescent="0.25">
      <c r="B30" s="178"/>
      <c r="C30" s="178"/>
      <c r="D30" s="178"/>
      <c r="E30" s="178"/>
      <c r="F30" s="178"/>
      <c r="G30" s="178"/>
      <c r="H30" s="178"/>
      <c r="J30" s="178"/>
      <c r="K30" s="178"/>
      <c r="L30" s="178"/>
      <c r="M30" s="178"/>
      <c r="N30" s="178"/>
      <c r="O30" s="178"/>
      <c r="P30" s="178"/>
      <c r="Q30" s="178"/>
      <c r="R30" s="178"/>
      <c r="S30" s="178"/>
      <c r="T30" s="178"/>
      <c r="U30" s="178"/>
      <c r="V30" s="178"/>
      <c r="W30" s="178"/>
    </row>
    <row r="31" spans="2:23" x14ac:dyDescent="0.25">
      <c r="B31" s="178"/>
      <c r="C31" s="178"/>
      <c r="D31" s="178"/>
      <c r="E31" s="178"/>
      <c r="F31" s="178"/>
      <c r="G31" s="178"/>
      <c r="H31" s="178"/>
      <c r="J31" s="178"/>
      <c r="K31" s="178"/>
      <c r="L31" s="178"/>
      <c r="M31" s="178"/>
      <c r="N31" s="178"/>
      <c r="O31" s="178"/>
      <c r="P31" s="178"/>
      <c r="Q31" s="178"/>
      <c r="R31" s="178"/>
      <c r="S31" s="178"/>
      <c r="T31" s="178"/>
      <c r="U31" s="178"/>
      <c r="V31" s="178"/>
      <c r="W31" s="178"/>
    </row>
    <row r="32" spans="2:23" x14ac:dyDescent="0.25">
      <c r="B32" s="178"/>
      <c r="C32" s="178"/>
      <c r="D32" s="178"/>
      <c r="E32" s="178"/>
      <c r="F32" s="178"/>
      <c r="G32" s="178"/>
      <c r="H32" s="178"/>
      <c r="J32" s="178"/>
      <c r="K32" s="178"/>
      <c r="L32" s="178"/>
      <c r="M32" s="178"/>
      <c r="N32" s="178"/>
      <c r="O32" s="178"/>
      <c r="P32" s="178"/>
      <c r="Q32" s="178"/>
      <c r="R32" s="178"/>
      <c r="S32" s="178"/>
      <c r="T32" s="178"/>
      <c r="U32" s="178"/>
      <c r="V32" s="178"/>
      <c r="W32" s="178"/>
    </row>
    <row r="33" spans="2:23" x14ac:dyDescent="0.25">
      <c r="B33" s="178"/>
      <c r="C33" s="178"/>
      <c r="D33" s="178"/>
      <c r="E33" s="178"/>
      <c r="F33" s="178"/>
      <c r="G33" s="178"/>
      <c r="H33" s="178"/>
      <c r="J33" s="178"/>
      <c r="K33" s="178"/>
      <c r="L33" s="178"/>
      <c r="M33" s="178"/>
      <c r="N33" s="178"/>
      <c r="O33" s="178"/>
      <c r="P33" s="178"/>
      <c r="Q33" s="178"/>
      <c r="R33" s="178"/>
      <c r="S33" s="178"/>
      <c r="T33" s="178"/>
      <c r="U33" s="178"/>
      <c r="V33" s="178"/>
      <c r="W33" s="178"/>
    </row>
    <row r="34" spans="2:23" x14ac:dyDescent="0.25">
      <c r="B34" s="178"/>
      <c r="C34" s="178"/>
      <c r="D34" s="178"/>
      <c r="E34" s="178"/>
      <c r="F34" s="178"/>
      <c r="G34" s="178"/>
      <c r="H34" s="178"/>
      <c r="J34" s="178"/>
      <c r="K34" s="178"/>
      <c r="L34" s="178"/>
      <c r="M34" s="178"/>
      <c r="N34" s="178"/>
      <c r="O34" s="178"/>
      <c r="P34" s="178"/>
      <c r="Q34" s="178"/>
      <c r="R34" s="178"/>
      <c r="S34" s="178"/>
      <c r="T34" s="178"/>
      <c r="U34" s="178"/>
      <c r="V34" s="178"/>
      <c r="W34" s="178"/>
    </row>
    <row r="35" spans="2:23" x14ac:dyDescent="0.25">
      <c r="B35" s="178"/>
      <c r="C35" s="178"/>
      <c r="D35" s="178"/>
      <c r="E35" s="178"/>
      <c r="F35" s="178"/>
      <c r="G35" s="178"/>
      <c r="H35" s="178"/>
      <c r="J35" s="178"/>
      <c r="K35" s="178"/>
      <c r="L35" s="178"/>
      <c r="M35" s="178"/>
      <c r="N35" s="178"/>
      <c r="O35" s="178"/>
      <c r="P35" s="178"/>
      <c r="Q35" s="178"/>
      <c r="R35" s="178"/>
      <c r="S35" s="178"/>
      <c r="T35" s="178"/>
      <c r="U35" s="178"/>
      <c r="V35" s="178"/>
      <c r="W35" s="178"/>
    </row>
  </sheetData>
  <mergeCells count="8">
    <mergeCell ref="J22:W22"/>
    <mergeCell ref="J23:W35"/>
    <mergeCell ref="B21:H35"/>
    <mergeCell ref="B1:H1"/>
    <mergeCell ref="B2:H19"/>
    <mergeCell ref="J1:W1"/>
    <mergeCell ref="B20:H20"/>
    <mergeCell ref="J2:W2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36617C-B5CC-4C24-9732-05A0653A8458}">
  <dimension ref="A1:H26"/>
  <sheetViews>
    <sheetView zoomScale="70" zoomScaleNormal="70" workbookViewId="0">
      <selection activeCell="L21" sqref="L21"/>
    </sheetView>
  </sheetViews>
  <sheetFormatPr defaultRowHeight="15" x14ac:dyDescent="0.25"/>
  <cols>
    <col min="2" max="2" width="32.5703125" style="21" customWidth="1"/>
    <col min="3" max="3" width="18.42578125" customWidth="1"/>
    <col min="4" max="4" width="15.7109375" style="29" customWidth="1"/>
    <col min="5" max="5" width="14.28515625" customWidth="1"/>
    <col min="6" max="6" width="58.85546875" bestFit="1" customWidth="1"/>
    <col min="7" max="7" width="14.85546875" customWidth="1"/>
    <col min="8" max="8" width="13.5703125" bestFit="1" customWidth="1"/>
  </cols>
  <sheetData>
    <row r="1" spans="1:8" x14ac:dyDescent="0.25">
      <c r="A1" s="49" t="s">
        <v>118</v>
      </c>
      <c r="B1" s="50" t="s">
        <v>119</v>
      </c>
      <c r="C1" s="49" t="s">
        <v>123</v>
      </c>
      <c r="D1" s="49" t="s">
        <v>186</v>
      </c>
      <c r="E1" s="49" t="s">
        <v>187</v>
      </c>
      <c r="F1" s="49" t="s">
        <v>131</v>
      </c>
      <c r="G1" s="51"/>
      <c r="H1" s="51"/>
    </row>
    <row r="2" spans="1:8" ht="20.25" customHeight="1" x14ac:dyDescent="0.25">
      <c r="A2" s="49">
        <v>1</v>
      </c>
      <c r="B2" s="50" t="s">
        <v>169</v>
      </c>
      <c r="C2" s="51" t="s">
        <v>188</v>
      </c>
      <c r="D2" s="52">
        <v>150</v>
      </c>
      <c r="E2" s="49" t="s">
        <v>170</v>
      </c>
      <c r="F2" s="222"/>
      <c r="G2" s="223" t="s">
        <v>766</v>
      </c>
      <c r="H2" s="224"/>
    </row>
    <row r="3" spans="1:8" ht="20.25" customHeight="1" x14ac:dyDescent="0.25">
      <c r="A3" s="49">
        <v>2</v>
      </c>
      <c r="B3" s="50" t="s">
        <v>167</v>
      </c>
      <c r="C3" s="51" t="s">
        <v>189</v>
      </c>
      <c r="D3" s="52">
        <v>265</v>
      </c>
      <c r="E3" s="49" t="s">
        <v>170</v>
      </c>
      <c r="F3" s="222"/>
      <c r="G3" s="224"/>
      <c r="H3" s="224"/>
    </row>
    <row r="4" spans="1:8" ht="20.25" customHeight="1" x14ac:dyDescent="0.25">
      <c r="A4" s="49">
        <v>3</v>
      </c>
      <c r="B4" s="50" t="s">
        <v>219</v>
      </c>
      <c r="C4" s="51" t="s">
        <v>221</v>
      </c>
      <c r="D4" s="52">
        <v>50</v>
      </c>
      <c r="E4" s="49" t="s">
        <v>176</v>
      </c>
      <c r="F4" s="222"/>
      <c r="G4" s="224"/>
      <c r="H4" s="224"/>
    </row>
    <row r="5" spans="1:8" ht="20.25" customHeight="1" x14ac:dyDescent="0.25">
      <c r="A5" s="49">
        <v>4</v>
      </c>
      <c r="B5" s="50" t="s">
        <v>220</v>
      </c>
      <c r="C5" s="51" t="s">
        <v>222</v>
      </c>
      <c r="D5" s="52">
        <v>60</v>
      </c>
      <c r="E5" s="49" t="s">
        <v>176</v>
      </c>
      <c r="F5" s="222"/>
      <c r="G5" s="224"/>
      <c r="H5" s="224"/>
    </row>
    <row r="6" spans="1:8" ht="20.25" customHeight="1" x14ac:dyDescent="0.25">
      <c r="A6" s="49">
        <v>5</v>
      </c>
      <c r="B6" s="50" t="s">
        <v>195</v>
      </c>
      <c r="C6" s="51" t="s">
        <v>190</v>
      </c>
      <c r="D6" s="54">
        <f>D2*SQRT(2)</f>
        <v>212.13203435596427</v>
      </c>
      <c r="E6" s="49" t="s">
        <v>192</v>
      </c>
      <c r="F6" s="55" t="s">
        <v>193</v>
      </c>
      <c r="G6" s="224"/>
      <c r="H6" s="224"/>
    </row>
    <row r="7" spans="1:8" ht="20.25" customHeight="1" x14ac:dyDescent="0.25">
      <c r="A7" s="49">
        <v>6</v>
      </c>
      <c r="B7" s="50" t="s">
        <v>196</v>
      </c>
      <c r="C7" s="51" t="s">
        <v>191</v>
      </c>
      <c r="D7" s="54">
        <f>D3*SQRT(2)</f>
        <v>374.7665940288702</v>
      </c>
      <c r="E7" s="49" t="s">
        <v>192</v>
      </c>
      <c r="F7" s="55" t="s">
        <v>194</v>
      </c>
      <c r="G7" s="224"/>
      <c r="H7" s="224"/>
    </row>
    <row r="8" spans="1:8" ht="20.25" customHeight="1" x14ac:dyDescent="0.25">
      <c r="A8" s="49">
        <v>7</v>
      </c>
      <c r="B8" s="50" t="s">
        <v>197</v>
      </c>
      <c r="C8" s="51" t="s">
        <v>199</v>
      </c>
      <c r="D8" s="54">
        <f>D6-D6*D11/200-2*D10</f>
        <v>178.91222920256962</v>
      </c>
      <c r="E8" s="49"/>
      <c r="F8" s="55" t="s">
        <v>205</v>
      </c>
      <c r="G8" s="224"/>
      <c r="H8" s="224"/>
    </row>
    <row r="9" spans="1:8" ht="20.25" customHeight="1" x14ac:dyDescent="0.25">
      <c r="A9" s="49">
        <v>8</v>
      </c>
      <c r="B9" s="50" t="s">
        <v>198</v>
      </c>
      <c r="C9" s="51" t="s">
        <v>200</v>
      </c>
      <c r="D9" s="54">
        <f>D7-D7*D11/200-2*D10</f>
        <v>317.1516049245397</v>
      </c>
      <c r="E9" s="49"/>
      <c r="F9" s="55" t="s">
        <v>206</v>
      </c>
      <c r="G9" s="224"/>
      <c r="H9" s="224"/>
    </row>
    <row r="10" spans="1:8" ht="20.25" customHeight="1" x14ac:dyDescent="0.25">
      <c r="A10" s="49">
        <v>9</v>
      </c>
      <c r="B10" s="50" t="s">
        <v>201</v>
      </c>
      <c r="C10" s="51" t="s">
        <v>202</v>
      </c>
      <c r="D10" s="52">
        <v>0.7</v>
      </c>
      <c r="E10" s="49"/>
      <c r="F10" s="51"/>
      <c r="G10" s="224"/>
      <c r="H10" s="224"/>
    </row>
    <row r="11" spans="1:8" s="25" customFormat="1" ht="33.75" customHeight="1" x14ac:dyDescent="0.25">
      <c r="A11" s="49">
        <v>10</v>
      </c>
      <c r="B11" s="50" t="s">
        <v>203</v>
      </c>
      <c r="C11" s="56" t="s">
        <v>204</v>
      </c>
      <c r="D11" s="57">
        <v>30</v>
      </c>
      <c r="E11" s="49" t="s">
        <v>161</v>
      </c>
      <c r="F11" s="58" t="s">
        <v>403</v>
      </c>
      <c r="G11" s="224"/>
      <c r="H11" s="224"/>
    </row>
    <row r="12" spans="1:8" ht="20.25" customHeight="1" x14ac:dyDescent="0.25">
      <c r="A12" s="49">
        <v>11</v>
      </c>
      <c r="B12" s="50" t="s">
        <v>207</v>
      </c>
      <c r="C12" s="51" t="s">
        <v>210</v>
      </c>
      <c r="D12" s="52">
        <v>5</v>
      </c>
      <c r="E12" s="49" t="s">
        <v>192</v>
      </c>
      <c r="F12" s="55"/>
      <c r="G12" s="224"/>
      <c r="H12" s="224"/>
    </row>
    <row r="13" spans="1:8" ht="20.25" customHeight="1" x14ac:dyDescent="0.25">
      <c r="A13" s="49">
        <v>12</v>
      </c>
      <c r="B13" s="50" t="s">
        <v>242</v>
      </c>
      <c r="C13" s="51" t="s">
        <v>244</v>
      </c>
      <c r="D13" s="52">
        <v>0.5</v>
      </c>
      <c r="E13" s="49" t="s">
        <v>55</v>
      </c>
      <c r="F13" s="55" t="s">
        <v>243</v>
      </c>
      <c r="G13" s="224"/>
      <c r="H13" s="224"/>
    </row>
    <row r="14" spans="1:8" ht="20.25" customHeight="1" x14ac:dyDescent="0.25">
      <c r="A14" s="49">
        <v>13</v>
      </c>
      <c r="B14" s="50" t="s">
        <v>238</v>
      </c>
      <c r="C14" s="51" t="s">
        <v>211</v>
      </c>
      <c r="D14" s="52">
        <f>D13*0.8</f>
        <v>0.4</v>
      </c>
      <c r="E14" s="49" t="s">
        <v>55</v>
      </c>
      <c r="F14" s="55" t="s">
        <v>239</v>
      </c>
      <c r="G14" s="224"/>
      <c r="H14" s="224"/>
    </row>
    <row r="15" spans="1:8" ht="20.25" customHeight="1" x14ac:dyDescent="0.25">
      <c r="A15" s="49">
        <v>14</v>
      </c>
      <c r="B15" s="50" t="s">
        <v>237</v>
      </c>
      <c r="C15" s="51" t="s">
        <v>212</v>
      </c>
      <c r="D15" s="54">
        <f>D12*D14</f>
        <v>2</v>
      </c>
      <c r="E15" s="49" t="s">
        <v>213</v>
      </c>
      <c r="F15" s="55" t="s">
        <v>217</v>
      </c>
      <c r="G15" s="224"/>
      <c r="H15" s="224"/>
    </row>
    <row r="16" spans="1:8" ht="20.25" customHeight="1" x14ac:dyDescent="0.25">
      <c r="A16" s="49">
        <v>15</v>
      </c>
      <c r="B16" s="50" t="s">
        <v>208</v>
      </c>
      <c r="C16" s="51" t="s">
        <v>214</v>
      </c>
      <c r="D16" s="52">
        <v>65</v>
      </c>
      <c r="E16" s="49" t="s">
        <v>161</v>
      </c>
      <c r="F16" s="55"/>
      <c r="G16" s="224"/>
      <c r="H16" s="224"/>
    </row>
    <row r="17" spans="1:8" ht="20.25" customHeight="1" x14ac:dyDescent="0.25">
      <c r="A17" s="49">
        <v>16</v>
      </c>
      <c r="B17" s="50" t="s">
        <v>209</v>
      </c>
      <c r="C17" s="51" t="s">
        <v>215</v>
      </c>
      <c r="D17" s="54">
        <f>D15*100/D16</f>
        <v>3.0769230769230771</v>
      </c>
      <c r="E17" s="49" t="s">
        <v>213</v>
      </c>
      <c r="F17" s="55" t="s">
        <v>216</v>
      </c>
      <c r="G17" s="224"/>
      <c r="H17" s="224"/>
    </row>
    <row r="18" spans="1:8" ht="49.5" customHeight="1" x14ac:dyDescent="0.25">
      <c r="A18" s="49">
        <v>17</v>
      </c>
      <c r="B18" s="59" t="s">
        <v>218</v>
      </c>
      <c r="C18" s="51" t="s">
        <v>223</v>
      </c>
      <c r="D18" s="60">
        <f>D17/(2*D4)</f>
        <v>3.0769230769230771E-2</v>
      </c>
      <c r="E18" s="49" t="s">
        <v>402</v>
      </c>
      <c r="F18" s="55" t="s">
        <v>224</v>
      </c>
      <c r="G18" s="224"/>
      <c r="H18" s="224"/>
    </row>
    <row r="19" spans="1:8" ht="20.25" customHeight="1" x14ac:dyDescent="0.25">
      <c r="A19" s="49">
        <v>18</v>
      </c>
      <c r="B19" s="50" t="s">
        <v>227</v>
      </c>
      <c r="C19" s="51" t="s">
        <v>225</v>
      </c>
      <c r="D19" s="61">
        <f>1000000*((2*D18)/(D6^2-D8^2))</f>
        <v>4.7372208763444288</v>
      </c>
      <c r="E19" s="49" t="s">
        <v>226</v>
      </c>
      <c r="F19" s="55" t="s">
        <v>230</v>
      </c>
      <c r="G19" s="224"/>
      <c r="H19" s="224"/>
    </row>
    <row r="20" spans="1:8" ht="20.25" customHeight="1" x14ac:dyDescent="0.25">
      <c r="A20" s="49">
        <v>19</v>
      </c>
      <c r="B20" s="50" t="s">
        <v>228</v>
      </c>
      <c r="C20" s="51" t="s">
        <v>229</v>
      </c>
      <c r="D20" s="61">
        <f>1000000*((2*D18)/(D7^2-D9^2))</f>
        <v>1.5436768703035266</v>
      </c>
      <c r="E20" s="49" t="s">
        <v>226</v>
      </c>
      <c r="F20" s="55" t="s">
        <v>231</v>
      </c>
      <c r="G20" s="224"/>
      <c r="H20" s="224"/>
    </row>
    <row r="21" spans="1:8" ht="20.25" customHeight="1" x14ac:dyDescent="0.25">
      <c r="A21" s="51"/>
      <c r="B21" s="50"/>
      <c r="C21" s="53"/>
      <c r="D21" s="51"/>
      <c r="E21" s="49"/>
      <c r="F21" s="51"/>
      <c r="G21" s="224"/>
      <c r="H21" s="224"/>
    </row>
    <row r="22" spans="1:8" ht="20.25" customHeight="1" x14ac:dyDescent="0.25">
      <c r="A22" s="220" t="s">
        <v>232</v>
      </c>
      <c r="B22" s="219" t="s">
        <v>233</v>
      </c>
      <c r="C22" s="221" t="s">
        <v>234</v>
      </c>
      <c r="D22" s="62">
        <v>2.2000000000000002</v>
      </c>
      <c r="E22" s="57" t="s">
        <v>226</v>
      </c>
      <c r="F22" s="225" t="s">
        <v>404</v>
      </c>
      <c r="G22" s="224"/>
      <c r="H22" s="224"/>
    </row>
    <row r="23" spans="1:8" ht="20.25" customHeight="1" x14ac:dyDescent="0.25">
      <c r="A23" s="220"/>
      <c r="B23" s="219"/>
      <c r="C23" s="221"/>
      <c r="D23" s="63">
        <v>3.3</v>
      </c>
      <c r="E23" s="49" t="s">
        <v>226</v>
      </c>
      <c r="F23" s="226"/>
      <c r="G23" s="224"/>
      <c r="H23" s="224"/>
    </row>
    <row r="24" spans="1:8" ht="20.25" customHeight="1" x14ac:dyDescent="0.25">
      <c r="A24" s="220"/>
      <c r="B24" s="219"/>
      <c r="C24" s="221"/>
      <c r="D24" s="63">
        <v>4.7</v>
      </c>
      <c r="E24" s="49" t="s">
        <v>226</v>
      </c>
      <c r="F24" s="226"/>
      <c r="G24" s="224"/>
      <c r="H24" s="224"/>
    </row>
    <row r="25" spans="1:8" ht="20.25" customHeight="1" x14ac:dyDescent="0.25">
      <c r="A25" s="220"/>
      <c r="B25" s="219"/>
      <c r="C25" s="221"/>
      <c r="D25" s="63">
        <v>5.6</v>
      </c>
      <c r="E25" s="49" t="s">
        <v>226</v>
      </c>
      <c r="F25" s="227"/>
      <c r="G25" s="224"/>
      <c r="H25" s="224"/>
    </row>
    <row r="26" spans="1:8" x14ac:dyDescent="0.25">
      <c r="C26" s="29"/>
      <c r="D26"/>
    </row>
  </sheetData>
  <mergeCells count="6">
    <mergeCell ref="B22:B25"/>
    <mergeCell ref="A22:A25"/>
    <mergeCell ref="C22:C25"/>
    <mergeCell ref="F2:F5"/>
    <mergeCell ref="G2:H25"/>
    <mergeCell ref="F22:F25"/>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3AC92C-CDA8-4FC8-811A-25E8213D697A}">
  <dimension ref="A1:AE53"/>
  <sheetViews>
    <sheetView topLeftCell="A9" zoomScale="40" zoomScaleNormal="40" workbookViewId="0">
      <selection activeCell="K38" sqref="K38"/>
    </sheetView>
  </sheetViews>
  <sheetFormatPr defaultRowHeight="15.75" x14ac:dyDescent="0.25"/>
  <cols>
    <col min="1" max="1" width="9.42578125" style="34" customWidth="1"/>
    <col min="2" max="2" width="8.7109375" style="34" customWidth="1"/>
    <col min="3" max="3" width="8.85546875" style="34" customWidth="1"/>
    <col min="4" max="4" width="9.28515625" style="34" customWidth="1"/>
    <col min="5" max="5" width="10.85546875" style="34" customWidth="1"/>
    <col min="6" max="6" width="7.5703125" style="34" customWidth="1"/>
    <col min="7" max="7" width="9.28515625" style="34" customWidth="1"/>
    <col min="8" max="8" width="28.7109375" style="34" customWidth="1"/>
    <col min="9" max="9" width="3.85546875" style="34" customWidth="1"/>
    <col min="10" max="10" width="10.5703125" style="34" customWidth="1"/>
    <col min="11" max="11" width="10.7109375" style="34" customWidth="1"/>
    <col min="12" max="12" width="9.140625" style="34"/>
    <col min="13" max="13" width="9.7109375" style="34" customWidth="1"/>
    <col min="14" max="16" width="7.42578125" style="82" customWidth="1"/>
    <col min="17" max="17" width="28.7109375" style="34" customWidth="1"/>
    <col min="18" max="18" width="4" style="34" customWidth="1"/>
    <col min="19" max="19" width="10" style="34" customWidth="1"/>
    <col min="20" max="20" width="11" style="34" customWidth="1"/>
    <col min="21" max="22" width="9.140625" style="34"/>
    <col min="23" max="25" width="7.140625" style="34" customWidth="1"/>
    <col min="26" max="26" width="30" style="34" customWidth="1"/>
    <col min="27" max="31" width="7.140625" style="34" customWidth="1"/>
    <col min="32" max="255" width="9.140625" style="34"/>
    <col min="256" max="256" width="3.28515625" style="34" customWidth="1"/>
    <col min="257" max="257" width="8.85546875" style="34" customWidth="1"/>
    <col min="258" max="258" width="8.28515625" style="34" customWidth="1"/>
    <col min="259" max="259" width="11.140625" style="34" customWidth="1"/>
    <col min="260" max="260" width="7.7109375" style="34" customWidth="1"/>
    <col min="261" max="261" width="12.42578125" style="34" customWidth="1"/>
    <col min="262" max="262" width="9.140625" style="34"/>
    <col min="263" max="263" width="3.42578125" style="34" customWidth="1"/>
    <col min="264" max="264" width="44.28515625" style="34" customWidth="1"/>
    <col min="265" max="268" width="9.140625" style="34"/>
    <col min="269" max="269" width="18.5703125" style="34" customWidth="1"/>
    <col min="270" max="270" width="9" style="34" customWidth="1"/>
    <col min="271" max="511" width="9.140625" style="34"/>
    <col min="512" max="512" width="3.28515625" style="34" customWidth="1"/>
    <col min="513" max="513" width="8.85546875" style="34" customWidth="1"/>
    <col min="514" max="514" width="8.28515625" style="34" customWidth="1"/>
    <col min="515" max="515" width="11.140625" style="34" customWidth="1"/>
    <col min="516" max="516" width="7.7109375" style="34" customWidth="1"/>
    <col min="517" max="517" width="12.42578125" style="34" customWidth="1"/>
    <col min="518" max="518" width="9.140625" style="34"/>
    <col min="519" max="519" width="3.42578125" style="34" customWidth="1"/>
    <col min="520" max="520" width="44.28515625" style="34" customWidth="1"/>
    <col min="521" max="524" width="9.140625" style="34"/>
    <col min="525" max="525" width="18.5703125" style="34" customWidth="1"/>
    <col min="526" max="526" width="9" style="34" customWidth="1"/>
    <col min="527" max="767" width="9.140625" style="34"/>
    <col min="768" max="768" width="3.28515625" style="34" customWidth="1"/>
    <col min="769" max="769" width="8.85546875" style="34" customWidth="1"/>
    <col min="770" max="770" width="8.28515625" style="34" customWidth="1"/>
    <col min="771" max="771" width="11.140625" style="34" customWidth="1"/>
    <col min="772" max="772" width="7.7109375" style="34" customWidth="1"/>
    <col min="773" max="773" width="12.42578125" style="34" customWidth="1"/>
    <col min="774" max="774" width="9.140625" style="34"/>
    <col min="775" max="775" width="3.42578125" style="34" customWidth="1"/>
    <col min="776" max="776" width="44.28515625" style="34" customWidth="1"/>
    <col min="777" max="780" width="9.140625" style="34"/>
    <col min="781" max="781" width="18.5703125" style="34" customWidth="1"/>
    <col min="782" max="782" width="9" style="34" customWidth="1"/>
    <col min="783" max="1023" width="9.140625" style="34"/>
    <col min="1024" max="1024" width="3.28515625" style="34" customWidth="1"/>
    <col min="1025" max="1025" width="8.85546875" style="34" customWidth="1"/>
    <col min="1026" max="1026" width="8.28515625" style="34" customWidth="1"/>
    <col min="1027" max="1027" width="11.140625" style="34" customWidth="1"/>
    <col min="1028" max="1028" width="7.7109375" style="34" customWidth="1"/>
    <col min="1029" max="1029" width="12.42578125" style="34" customWidth="1"/>
    <col min="1030" max="1030" width="9.140625" style="34"/>
    <col min="1031" max="1031" width="3.42578125" style="34" customWidth="1"/>
    <col min="1032" max="1032" width="44.28515625" style="34" customWidth="1"/>
    <col min="1033" max="1036" width="9.140625" style="34"/>
    <col min="1037" max="1037" width="18.5703125" style="34" customWidth="1"/>
    <col min="1038" max="1038" width="9" style="34" customWidth="1"/>
    <col min="1039" max="1279" width="9.140625" style="34"/>
    <col min="1280" max="1280" width="3.28515625" style="34" customWidth="1"/>
    <col min="1281" max="1281" width="8.85546875" style="34" customWidth="1"/>
    <col min="1282" max="1282" width="8.28515625" style="34" customWidth="1"/>
    <col min="1283" max="1283" width="11.140625" style="34" customWidth="1"/>
    <col min="1284" max="1284" width="7.7109375" style="34" customWidth="1"/>
    <col min="1285" max="1285" width="12.42578125" style="34" customWidth="1"/>
    <col min="1286" max="1286" width="9.140625" style="34"/>
    <col min="1287" max="1287" width="3.42578125" style="34" customWidth="1"/>
    <col min="1288" max="1288" width="44.28515625" style="34" customWidth="1"/>
    <col min="1289" max="1292" width="9.140625" style="34"/>
    <col min="1293" max="1293" width="18.5703125" style="34" customWidth="1"/>
    <col min="1294" max="1294" width="9" style="34" customWidth="1"/>
    <col min="1295" max="1535" width="9.140625" style="34"/>
    <col min="1536" max="1536" width="3.28515625" style="34" customWidth="1"/>
    <col min="1537" max="1537" width="8.85546875" style="34" customWidth="1"/>
    <col min="1538" max="1538" width="8.28515625" style="34" customWidth="1"/>
    <col min="1539" max="1539" width="11.140625" style="34" customWidth="1"/>
    <col min="1540" max="1540" width="7.7109375" style="34" customWidth="1"/>
    <col min="1541" max="1541" width="12.42578125" style="34" customWidth="1"/>
    <col min="1542" max="1542" width="9.140625" style="34"/>
    <col min="1543" max="1543" width="3.42578125" style="34" customWidth="1"/>
    <col min="1544" max="1544" width="44.28515625" style="34" customWidth="1"/>
    <col min="1545" max="1548" width="9.140625" style="34"/>
    <col min="1549" max="1549" width="18.5703125" style="34" customWidth="1"/>
    <col min="1550" max="1550" width="9" style="34" customWidth="1"/>
    <col min="1551" max="1791" width="9.140625" style="34"/>
    <col min="1792" max="1792" width="3.28515625" style="34" customWidth="1"/>
    <col min="1793" max="1793" width="8.85546875" style="34" customWidth="1"/>
    <col min="1794" max="1794" width="8.28515625" style="34" customWidth="1"/>
    <col min="1795" max="1795" width="11.140625" style="34" customWidth="1"/>
    <col min="1796" max="1796" width="7.7109375" style="34" customWidth="1"/>
    <col min="1797" max="1797" width="12.42578125" style="34" customWidth="1"/>
    <col min="1798" max="1798" width="9.140625" style="34"/>
    <col min="1799" max="1799" width="3.42578125" style="34" customWidth="1"/>
    <col min="1800" max="1800" width="44.28515625" style="34" customWidth="1"/>
    <col min="1801" max="1804" width="9.140625" style="34"/>
    <col min="1805" max="1805" width="18.5703125" style="34" customWidth="1"/>
    <col min="1806" max="1806" width="9" style="34" customWidth="1"/>
    <col min="1807" max="2047" width="9.140625" style="34"/>
    <col min="2048" max="2048" width="3.28515625" style="34" customWidth="1"/>
    <col min="2049" max="2049" width="8.85546875" style="34" customWidth="1"/>
    <col min="2050" max="2050" width="8.28515625" style="34" customWidth="1"/>
    <col min="2051" max="2051" width="11.140625" style="34" customWidth="1"/>
    <col min="2052" max="2052" width="7.7109375" style="34" customWidth="1"/>
    <col min="2053" max="2053" width="12.42578125" style="34" customWidth="1"/>
    <col min="2054" max="2054" width="9.140625" style="34"/>
    <col min="2055" max="2055" width="3.42578125" style="34" customWidth="1"/>
    <col min="2056" max="2056" width="44.28515625" style="34" customWidth="1"/>
    <col min="2057" max="2060" width="9.140625" style="34"/>
    <col min="2061" max="2061" width="18.5703125" style="34" customWidth="1"/>
    <col min="2062" max="2062" width="9" style="34" customWidth="1"/>
    <col min="2063" max="2303" width="9.140625" style="34"/>
    <col min="2304" max="2304" width="3.28515625" style="34" customWidth="1"/>
    <col min="2305" max="2305" width="8.85546875" style="34" customWidth="1"/>
    <col min="2306" max="2306" width="8.28515625" style="34" customWidth="1"/>
    <col min="2307" max="2307" width="11.140625" style="34" customWidth="1"/>
    <col min="2308" max="2308" width="7.7109375" style="34" customWidth="1"/>
    <col min="2309" max="2309" width="12.42578125" style="34" customWidth="1"/>
    <col min="2310" max="2310" width="9.140625" style="34"/>
    <col min="2311" max="2311" width="3.42578125" style="34" customWidth="1"/>
    <col min="2312" max="2312" width="44.28515625" style="34" customWidth="1"/>
    <col min="2313" max="2316" width="9.140625" style="34"/>
    <col min="2317" max="2317" width="18.5703125" style="34" customWidth="1"/>
    <col min="2318" max="2318" width="9" style="34" customWidth="1"/>
    <col min="2319" max="2559" width="9.140625" style="34"/>
    <col min="2560" max="2560" width="3.28515625" style="34" customWidth="1"/>
    <col min="2561" max="2561" width="8.85546875" style="34" customWidth="1"/>
    <col min="2562" max="2562" width="8.28515625" style="34" customWidth="1"/>
    <col min="2563" max="2563" width="11.140625" style="34" customWidth="1"/>
    <col min="2564" max="2564" width="7.7109375" style="34" customWidth="1"/>
    <col min="2565" max="2565" width="12.42578125" style="34" customWidth="1"/>
    <col min="2566" max="2566" width="9.140625" style="34"/>
    <col min="2567" max="2567" width="3.42578125" style="34" customWidth="1"/>
    <col min="2568" max="2568" width="44.28515625" style="34" customWidth="1"/>
    <col min="2569" max="2572" width="9.140625" style="34"/>
    <col min="2573" max="2573" width="18.5703125" style="34" customWidth="1"/>
    <col min="2574" max="2574" width="9" style="34" customWidth="1"/>
    <col min="2575" max="2815" width="9.140625" style="34"/>
    <col min="2816" max="2816" width="3.28515625" style="34" customWidth="1"/>
    <col min="2817" max="2817" width="8.85546875" style="34" customWidth="1"/>
    <col min="2818" max="2818" width="8.28515625" style="34" customWidth="1"/>
    <col min="2819" max="2819" width="11.140625" style="34" customWidth="1"/>
    <col min="2820" max="2820" width="7.7109375" style="34" customWidth="1"/>
    <col min="2821" max="2821" width="12.42578125" style="34" customWidth="1"/>
    <col min="2822" max="2822" width="9.140625" style="34"/>
    <col min="2823" max="2823" width="3.42578125" style="34" customWidth="1"/>
    <col min="2824" max="2824" width="44.28515625" style="34" customWidth="1"/>
    <col min="2825" max="2828" width="9.140625" style="34"/>
    <col min="2829" max="2829" width="18.5703125" style="34" customWidth="1"/>
    <col min="2830" max="2830" width="9" style="34" customWidth="1"/>
    <col min="2831" max="3071" width="9.140625" style="34"/>
    <col min="3072" max="3072" width="3.28515625" style="34" customWidth="1"/>
    <col min="3073" max="3073" width="8.85546875" style="34" customWidth="1"/>
    <col min="3074" max="3074" width="8.28515625" style="34" customWidth="1"/>
    <col min="3075" max="3075" width="11.140625" style="34" customWidth="1"/>
    <col min="3076" max="3076" width="7.7109375" style="34" customWidth="1"/>
    <col min="3077" max="3077" width="12.42578125" style="34" customWidth="1"/>
    <col min="3078" max="3078" width="9.140625" style="34"/>
    <col min="3079" max="3079" width="3.42578125" style="34" customWidth="1"/>
    <col min="3080" max="3080" width="44.28515625" style="34" customWidth="1"/>
    <col min="3081" max="3084" width="9.140625" style="34"/>
    <col min="3085" max="3085" width="18.5703125" style="34" customWidth="1"/>
    <col min="3086" max="3086" width="9" style="34" customWidth="1"/>
    <col min="3087" max="3327" width="9.140625" style="34"/>
    <col min="3328" max="3328" width="3.28515625" style="34" customWidth="1"/>
    <col min="3329" max="3329" width="8.85546875" style="34" customWidth="1"/>
    <col min="3330" max="3330" width="8.28515625" style="34" customWidth="1"/>
    <col min="3331" max="3331" width="11.140625" style="34" customWidth="1"/>
    <col min="3332" max="3332" width="7.7109375" style="34" customWidth="1"/>
    <col min="3333" max="3333" width="12.42578125" style="34" customWidth="1"/>
    <col min="3334" max="3334" width="9.140625" style="34"/>
    <col min="3335" max="3335" width="3.42578125" style="34" customWidth="1"/>
    <col min="3336" max="3336" width="44.28515625" style="34" customWidth="1"/>
    <col min="3337" max="3340" width="9.140625" style="34"/>
    <col min="3341" max="3341" width="18.5703125" style="34" customWidth="1"/>
    <col min="3342" max="3342" width="9" style="34" customWidth="1"/>
    <col min="3343" max="3583" width="9.140625" style="34"/>
    <col min="3584" max="3584" width="3.28515625" style="34" customWidth="1"/>
    <col min="3585" max="3585" width="8.85546875" style="34" customWidth="1"/>
    <col min="3586" max="3586" width="8.28515625" style="34" customWidth="1"/>
    <col min="3587" max="3587" width="11.140625" style="34" customWidth="1"/>
    <col min="3588" max="3588" width="7.7109375" style="34" customWidth="1"/>
    <col min="3589" max="3589" width="12.42578125" style="34" customWidth="1"/>
    <col min="3590" max="3590" width="9.140625" style="34"/>
    <col min="3591" max="3591" width="3.42578125" style="34" customWidth="1"/>
    <col min="3592" max="3592" width="44.28515625" style="34" customWidth="1"/>
    <col min="3593" max="3596" width="9.140625" style="34"/>
    <col min="3597" max="3597" width="18.5703125" style="34" customWidth="1"/>
    <col min="3598" max="3598" width="9" style="34" customWidth="1"/>
    <col min="3599" max="3839" width="9.140625" style="34"/>
    <col min="3840" max="3840" width="3.28515625" style="34" customWidth="1"/>
    <col min="3841" max="3841" width="8.85546875" style="34" customWidth="1"/>
    <col min="3842" max="3842" width="8.28515625" style="34" customWidth="1"/>
    <col min="3843" max="3843" width="11.140625" style="34" customWidth="1"/>
    <col min="3844" max="3844" width="7.7109375" style="34" customWidth="1"/>
    <col min="3845" max="3845" width="12.42578125" style="34" customWidth="1"/>
    <col min="3846" max="3846" width="9.140625" style="34"/>
    <col min="3847" max="3847" width="3.42578125" style="34" customWidth="1"/>
    <col min="3848" max="3848" width="44.28515625" style="34" customWidth="1"/>
    <col min="3849" max="3852" width="9.140625" style="34"/>
    <col min="3853" max="3853" width="18.5703125" style="34" customWidth="1"/>
    <col min="3854" max="3854" width="9" style="34" customWidth="1"/>
    <col min="3855" max="4095" width="9.140625" style="34"/>
    <col min="4096" max="4096" width="3.28515625" style="34" customWidth="1"/>
    <col min="4097" max="4097" width="8.85546875" style="34" customWidth="1"/>
    <col min="4098" max="4098" width="8.28515625" style="34" customWidth="1"/>
    <col min="4099" max="4099" width="11.140625" style="34" customWidth="1"/>
    <col min="4100" max="4100" width="7.7109375" style="34" customWidth="1"/>
    <col min="4101" max="4101" width="12.42578125" style="34" customWidth="1"/>
    <col min="4102" max="4102" width="9.140625" style="34"/>
    <col min="4103" max="4103" width="3.42578125" style="34" customWidth="1"/>
    <col min="4104" max="4104" width="44.28515625" style="34" customWidth="1"/>
    <col min="4105" max="4108" width="9.140625" style="34"/>
    <col min="4109" max="4109" width="18.5703125" style="34" customWidth="1"/>
    <col min="4110" max="4110" width="9" style="34" customWidth="1"/>
    <col min="4111" max="4351" width="9.140625" style="34"/>
    <col min="4352" max="4352" width="3.28515625" style="34" customWidth="1"/>
    <col min="4353" max="4353" width="8.85546875" style="34" customWidth="1"/>
    <col min="4354" max="4354" width="8.28515625" style="34" customWidth="1"/>
    <col min="4355" max="4355" width="11.140625" style="34" customWidth="1"/>
    <col min="4356" max="4356" width="7.7109375" style="34" customWidth="1"/>
    <col min="4357" max="4357" width="12.42578125" style="34" customWidth="1"/>
    <col min="4358" max="4358" width="9.140625" style="34"/>
    <col min="4359" max="4359" width="3.42578125" style="34" customWidth="1"/>
    <col min="4360" max="4360" width="44.28515625" style="34" customWidth="1"/>
    <col min="4361" max="4364" width="9.140625" style="34"/>
    <col min="4365" max="4365" width="18.5703125" style="34" customWidth="1"/>
    <col min="4366" max="4366" width="9" style="34" customWidth="1"/>
    <col min="4367" max="4607" width="9.140625" style="34"/>
    <col min="4608" max="4608" width="3.28515625" style="34" customWidth="1"/>
    <col min="4609" max="4609" width="8.85546875" style="34" customWidth="1"/>
    <col min="4610" max="4610" width="8.28515625" style="34" customWidth="1"/>
    <col min="4611" max="4611" width="11.140625" style="34" customWidth="1"/>
    <col min="4612" max="4612" width="7.7109375" style="34" customWidth="1"/>
    <col min="4613" max="4613" width="12.42578125" style="34" customWidth="1"/>
    <col min="4614" max="4614" width="9.140625" style="34"/>
    <col min="4615" max="4615" width="3.42578125" style="34" customWidth="1"/>
    <col min="4616" max="4616" width="44.28515625" style="34" customWidth="1"/>
    <col min="4617" max="4620" width="9.140625" style="34"/>
    <col min="4621" max="4621" width="18.5703125" style="34" customWidth="1"/>
    <col min="4622" max="4622" width="9" style="34" customWidth="1"/>
    <col min="4623" max="4863" width="9.140625" style="34"/>
    <col min="4864" max="4864" width="3.28515625" style="34" customWidth="1"/>
    <col min="4865" max="4865" width="8.85546875" style="34" customWidth="1"/>
    <col min="4866" max="4866" width="8.28515625" style="34" customWidth="1"/>
    <col min="4867" max="4867" width="11.140625" style="34" customWidth="1"/>
    <col min="4868" max="4868" width="7.7109375" style="34" customWidth="1"/>
    <col min="4869" max="4869" width="12.42578125" style="34" customWidth="1"/>
    <col min="4870" max="4870" width="9.140625" style="34"/>
    <col min="4871" max="4871" width="3.42578125" style="34" customWidth="1"/>
    <col min="4872" max="4872" width="44.28515625" style="34" customWidth="1"/>
    <col min="4873" max="4876" width="9.140625" style="34"/>
    <col min="4877" max="4877" width="18.5703125" style="34" customWidth="1"/>
    <col min="4878" max="4878" width="9" style="34" customWidth="1"/>
    <col min="4879" max="5119" width="9.140625" style="34"/>
    <col min="5120" max="5120" width="3.28515625" style="34" customWidth="1"/>
    <col min="5121" max="5121" width="8.85546875" style="34" customWidth="1"/>
    <col min="5122" max="5122" width="8.28515625" style="34" customWidth="1"/>
    <col min="5123" max="5123" width="11.140625" style="34" customWidth="1"/>
    <col min="5124" max="5124" width="7.7109375" style="34" customWidth="1"/>
    <col min="5125" max="5125" width="12.42578125" style="34" customWidth="1"/>
    <col min="5126" max="5126" width="9.140625" style="34"/>
    <col min="5127" max="5127" width="3.42578125" style="34" customWidth="1"/>
    <col min="5128" max="5128" width="44.28515625" style="34" customWidth="1"/>
    <col min="5129" max="5132" width="9.140625" style="34"/>
    <col min="5133" max="5133" width="18.5703125" style="34" customWidth="1"/>
    <col min="5134" max="5134" width="9" style="34" customWidth="1"/>
    <col min="5135" max="5375" width="9.140625" style="34"/>
    <col min="5376" max="5376" width="3.28515625" style="34" customWidth="1"/>
    <col min="5377" max="5377" width="8.85546875" style="34" customWidth="1"/>
    <col min="5378" max="5378" width="8.28515625" style="34" customWidth="1"/>
    <col min="5379" max="5379" width="11.140625" style="34" customWidth="1"/>
    <col min="5380" max="5380" width="7.7109375" style="34" customWidth="1"/>
    <col min="5381" max="5381" width="12.42578125" style="34" customWidth="1"/>
    <col min="5382" max="5382" width="9.140625" style="34"/>
    <col min="5383" max="5383" width="3.42578125" style="34" customWidth="1"/>
    <col min="5384" max="5384" width="44.28515625" style="34" customWidth="1"/>
    <col min="5385" max="5388" width="9.140625" style="34"/>
    <col min="5389" max="5389" width="18.5703125" style="34" customWidth="1"/>
    <col min="5390" max="5390" width="9" style="34" customWidth="1"/>
    <col min="5391" max="5631" width="9.140625" style="34"/>
    <col min="5632" max="5632" width="3.28515625" style="34" customWidth="1"/>
    <col min="5633" max="5633" width="8.85546875" style="34" customWidth="1"/>
    <col min="5634" max="5634" width="8.28515625" style="34" customWidth="1"/>
    <col min="5635" max="5635" width="11.140625" style="34" customWidth="1"/>
    <col min="5636" max="5636" width="7.7109375" style="34" customWidth="1"/>
    <col min="5637" max="5637" width="12.42578125" style="34" customWidth="1"/>
    <col min="5638" max="5638" width="9.140625" style="34"/>
    <col min="5639" max="5639" width="3.42578125" style="34" customWidth="1"/>
    <col min="5640" max="5640" width="44.28515625" style="34" customWidth="1"/>
    <col min="5641" max="5644" width="9.140625" style="34"/>
    <col min="5645" max="5645" width="18.5703125" style="34" customWidth="1"/>
    <col min="5646" max="5646" width="9" style="34" customWidth="1"/>
    <col min="5647" max="5887" width="9.140625" style="34"/>
    <col min="5888" max="5888" width="3.28515625" style="34" customWidth="1"/>
    <col min="5889" max="5889" width="8.85546875" style="34" customWidth="1"/>
    <col min="5890" max="5890" width="8.28515625" style="34" customWidth="1"/>
    <col min="5891" max="5891" width="11.140625" style="34" customWidth="1"/>
    <col min="5892" max="5892" width="7.7109375" style="34" customWidth="1"/>
    <col min="5893" max="5893" width="12.42578125" style="34" customWidth="1"/>
    <col min="5894" max="5894" width="9.140625" style="34"/>
    <col min="5895" max="5895" width="3.42578125" style="34" customWidth="1"/>
    <col min="5896" max="5896" width="44.28515625" style="34" customWidth="1"/>
    <col min="5897" max="5900" width="9.140625" style="34"/>
    <col min="5901" max="5901" width="18.5703125" style="34" customWidth="1"/>
    <col min="5902" max="5902" width="9" style="34" customWidth="1"/>
    <col min="5903" max="6143" width="9.140625" style="34"/>
    <col min="6144" max="6144" width="3.28515625" style="34" customWidth="1"/>
    <col min="6145" max="6145" width="8.85546875" style="34" customWidth="1"/>
    <col min="6146" max="6146" width="8.28515625" style="34" customWidth="1"/>
    <col min="6147" max="6147" width="11.140625" style="34" customWidth="1"/>
    <col min="6148" max="6148" width="7.7109375" style="34" customWidth="1"/>
    <col min="6149" max="6149" width="12.42578125" style="34" customWidth="1"/>
    <col min="6150" max="6150" width="9.140625" style="34"/>
    <col min="6151" max="6151" width="3.42578125" style="34" customWidth="1"/>
    <col min="6152" max="6152" width="44.28515625" style="34" customWidth="1"/>
    <col min="6153" max="6156" width="9.140625" style="34"/>
    <col min="6157" max="6157" width="18.5703125" style="34" customWidth="1"/>
    <col min="6158" max="6158" width="9" style="34" customWidth="1"/>
    <col min="6159" max="6399" width="9.140625" style="34"/>
    <col min="6400" max="6400" width="3.28515625" style="34" customWidth="1"/>
    <col min="6401" max="6401" width="8.85546875" style="34" customWidth="1"/>
    <col min="6402" max="6402" width="8.28515625" style="34" customWidth="1"/>
    <col min="6403" max="6403" width="11.140625" style="34" customWidth="1"/>
    <col min="6404" max="6404" width="7.7109375" style="34" customWidth="1"/>
    <col min="6405" max="6405" width="12.42578125" style="34" customWidth="1"/>
    <col min="6406" max="6406" width="9.140625" style="34"/>
    <col min="6407" max="6407" width="3.42578125" style="34" customWidth="1"/>
    <col min="6408" max="6408" width="44.28515625" style="34" customWidth="1"/>
    <col min="6409" max="6412" width="9.140625" style="34"/>
    <col min="6413" max="6413" width="18.5703125" style="34" customWidth="1"/>
    <col min="6414" max="6414" width="9" style="34" customWidth="1"/>
    <col min="6415" max="6655" width="9.140625" style="34"/>
    <col min="6656" max="6656" width="3.28515625" style="34" customWidth="1"/>
    <col min="6657" max="6657" width="8.85546875" style="34" customWidth="1"/>
    <col min="6658" max="6658" width="8.28515625" style="34" customWidth="1"/>
    <col min="6659" max="6659" width="11.140625" style="34" customWidth="1"/>
    <col min="6660" max="6660" width="7.7109375" style="34" customWidth="1"/>
    <col min="6661" max="6661" width="12.42578125" style="34" customWidth="1"/>
    <col min="6662" max="6662" width="9.140625" style="34"/>
    <col min="6663" max="6663" width="3.42578125" style="34" customWidth="1"/>
    <col min="6664" max="6664" width="44.28515625" style="34" customWidth="1"/>
    <col min="6665" max="6668" width="9.140625" style="34"/>
    <col min="6669" max="6669" width="18.5703125" style="34" customWidth="1"/>
    <col min="6670" max="6670" width="9" style="34" customWidth="1"/>
    <col min="6671" max="6911" width="9.140625" style="34"/>
    <col min="6912" max="6912" width="3.28515625" style="34" customWidth="1"/>
    <col min="6913" max="6913" width="8.85546875" style="34" customWidth="1"/>
    <col min="6914" max="6914" width="8.28515625" style="34" customWidth="1"/>
    <col min="6915" max="6915" width="11.140625" style="34" customWidth="1"/>
    <col min="6916" max="6916" width="7.7109375" style="34" customWidth="1"/>
    <col min="6917" max="6917" width="12.42578125" style="34" customWidth="1"/>
    <col min="6918" max="6918" width="9.140625" style="34"/>
    <col min="6919" max="6919" width="3.42578125" style="34" customWidth="1"/>
    <col min="6920" max="6920" width="44.28515625" style="34" customWidth="1"/>
    <col min="6921" max="6924" width="9.140625" style="34"/>
    <col min="6925" max="6925" width="18.5703125" style="34" customWidth="1"/>
    <col min="6926" max="6926" width="9" style="34" customWidth="1"/>
    <col min="6927" max="7167" width="9.140625" style="34"/>
    <col min="7168" max="7168" width="3.28515625" style="34" customWidth="1"/>
    <col min="7169" max="7169" width="8.85546875" style="34" customWidth="1"/>
    <col min="7170" max="7170" width="8.28515625" style="34" customWidth="1"/>
    <col min="7171" max="7171" width="11.140625" style="34" customWidth="1"/>
    <col min="7172" max="7172" width="7.7109375" style="34" customWidth="1"/>
    <col min="7173" max="7173" width="12.42578125" style="34" customWidth="1"/>
    <col min="7174" max="7174" width="9.140625" style="34"/>
    <col min="7175" max="7175" width="3.42578125" style="34" customWidth="1"/>
    <col min="7176" max="7176" width="44.28515625" style="34" customWidth="1"/>
    <col min="7177" max="7180" width="9.140625" style="34"/>
    <col min="7181" max="7181" width="18.5703125" style="34" customWidth="1"/>
    <col min="7182" max="7182" width="9" style="34" customWidth="1"/>
    <col min="7183" max="7423" width="9.140625" style="34"/>
    <col min="7424" max="7424" width="3.28515625" style="34" customWidth="1"/>
    <col min="7425" max="7425" width="8.85546875" style="34" customWidth="1"/>
    <col min="7426" max="7426" width="8.28515625" style="34" customWidth="1"/>
    <col min="7427" max="7427" width="11.140625" style="34" customWidth="1"/>
    <col min="7428" max="7428" width="7.7109375" style="34" customWidth="1"/>
    <col min="7429" max="7429" width="12.42578125" style="34" customWidth="1"/>
    <col min="7430" max="7430" width="9.140625" style="34"/>
    <col min="7431" max="7431" width="3.42578125" style="34" customWidth="1"/>
    <col min="7432" max="7432" width="44.28515625" style="34" customWidth="1"/>
    <col min="7433" max="7436" width="9.140625" style="34"/>
    <col min="7437" max="7437" width="18.5703125" style="34" customWidth="1"/>
    <col min="7438" max="7438" width="9" style="34" customWidth="1"/>
    <col min="7439" max="7679" width="9.140625" style="34"/>
    <col min="7680" max="7680" width="3.28515625" style="34" customWidth="1"/>
    <col min="7681" max="7681" width="8.85546875" style="34" customWidth="1"/>
    <col min="7682" max="7682" width="8.28515625" style="34" customWidth="1"/>
    <col min="7683" max="7683" width="11.140625" style="34" customWidth="1"/>
    <col min="7684" max="7684" width="7.7109375" style="34" customWidth="1"/>
    <col min="7685" max="7685" width="12.42578125" style="34" customWidth="1"/>
    <col min="7686" max="7686" width="9.140625" style="34"/>
    <col min="7687" max="7687" width="3.42578125" style="34" customWidth="1"/>
    <col min="7688" max="7688" width="44.28515625" style="34" customWidth="1"/>
    <col min="7689" max="7692" width="9.140625" style="34"/>
    <col min="7693" max="7693" width="18.5703125" style="34" customWidth="1"/>
    <col min="7694" max="7694" width="9" style="34" customWidth="1"/>
    <col min="7695" max="7935" width="9.140625" style="34"/>
    <col min="7936" max="7936" width="3.28515625" style="34" customWidth="1"/>
    <col min="7937" max="7937" width="8.85546875" style="34" customWidth="1"/>
    <col min="7938" max="7938" width="8.28515625" style="34" customWidth="1"/>
    <col min="7939" max="7939" width="11.140625" style="34" customWidth="1"/>
    <col min="7940" max="7940" width="7.7109375" style="34" customWidth="1"/>
    <col min="7941" max="7941" width="12.42578125" style="34" customWidth="1"/>
    <col min="7942" max="7942" width="9.140625" style="34"/>
    <col min="7943" max="7943" width="3.42578125" style="34" customWidth="1"/>
    <col min="7944" max="7944" width="44.28515625" style="34" customWidth="1"/>
    <col min="7945" max="7948" width="9.140625" style="34"/>
    <col min="7949" max="7949" width="18.5703125" style="34" customWidth="1"/>
    <col min="7950" max="7950" width="9" style="34" customWidth="1"/>
    <col min="7951" max="8191" width="9.140625" style="34"/>
    <col min="8192" max="8192" width="3.28515625" style="34" customWidth="1"/>
    <col min="8193" max="8193" width="8.85546875" style="34" customWidth="1"/>
    <col min="8194" max="8194" width="8.28515625" style="34" customWidth="1"/>
    <col min="8195" max="8195" width="11.140625" style="34" customWidth="1"/>
    <col min="8196" max="8196" width="7.7109375" style="34" customWidth="1"/>
    <col min="8197" max="8197" width="12.42578125" style="34" customWidth="1"/>
    <col min="8198" max="8198" width="9.140625" style="34"/>
    <col min="8199" max="8199" width="3.42578125" style="34" customWidth="1"/>
    <col min="8200" max="8200" width="44.28515625" style="34" customWidth="1"/>
    <col min="8201" max="8204" width="9.140625" style="34"/>
    <col min="8205" max="8205" width="18.5703125" style="34" customWidth="1"/>
    <col min="8206" max="8206" width="9" style="34" customWidth="1"/>
    <col min="8207" max="8447" width="9.140625" style="34"/>
    <col min="8448" max="8448" width="3.28515625" style="34" customWidth="1"/>
    <col min="8449" max="8449" width="8.85546875" style="34" customWidth="1"/>
    <col min="8450" max="8450" width="8.28515625" style="34" customWidth="1"/>
    <col min="8451" max="8451" width="11.140625" style="34" customWidth="1"/>
    <col min="8452" max="8452" width="7.7109375" style="34" customWidth="1"/>
    <col min="8453" max="8453" width="12.42578125" style="34" customWidth="1"/>
    <col min="8454" max="8454" width="9.140625" style="34"/>
    <col min="8455" max="8455" width="3.42578125" style="34" customWidth="1"/>
    <col min="8456" max="8456" width="44.28515625" style="34" customWidth="1"/>
    <col min="8457" max="8460" width="9.140625" style="34"/>
    <col min="8461" max="8461" width="18.5703125" style="34" customWidth="1"/>
    <col min="8462" max="8462" width="9" style="34" customWidth="1"/>
    <col min="8463" max="8703" width="9.140625" style="34"/>
    <col min="8704" max="8704" width="3.28515625" style="34" customWidth="1"/>
    <col min="8705" max="8705" width="8.85546875" style="34" customWidth="1"/>
    <col min="8706" max="8706" width="8.28515625" style="34" customWidth="1"/>
    <col min="8707" max="8707" width="11.140625" style="34" customWidth="1"/>
    <col min="8708" max="8708" width="7.7109375" style="34" customWidth="1"/>
    <col min="8709" max="8709" width="12.42578125" style="34" customWidth="1"/>
    <col min="8710" max="8710" width="9.140625" style="34"/>
    <col min="8711" max="8711" width="3.42578125" style="34" customWidth="1"/>
    <col min="8712" max="8712" width="44.28515625" style="34" customWidth="1"/>
    <col min="8713" max="8716" width="9.140625" style="34"/>
    <col min="8717" max="8717" width="18.5703125" style="34" customWidth="1"/>
    <col min="8718" max="8718" width="9" style="34" customWidth="1"/>
    <col min="8719" max="8959" width="9.140625" style="34"/>
    <col min="8960" max="8960" width="3.28515625" style="34" customWidth="1"/>
    <col min="8961" max="8961" width="8.85546875" style="34" customWidth="1"/>
    <col min="8962" max="8962" width="8.28515625" style="34" customWidth="1"/>
    <col min="8963" max="8963" width="11.140625" style="34" customWidth="1"/>
    <col min="8964" max="8964" width="7.7109375" style="34" customWidth="1"/>
    <col min="8965" max="8965" width="12.42578125" style="34" customWidth="1"/>
    <col min="8966" max="8966" width="9.140625" style="34"/>
    <col min="8967" max="8967" width="3.42578125" style="34" customWidth="1"/>
    <col min="8968" max="8968" width="44.28515625" style="34" customWidth="1"/>
    <col min="8969" max="8972" width="9.140625" style="34"/>
    <col min="8973" max="8973" width="18.5703125" style="34" customWidth="1"/>
    <col min="8974" max="8974" width="9" style="34" customWidth="1"/>
    <col min="8975" max="9215" width="9.140625" style="34"/>
    <col min="9216" max="9216" width="3.28515625" style="34" customWidth="1"/>
    <col min="9217" max="9217" width="8.85546875" style="34" customWidth="1"/>
    <col min="9218" max="9218" width="8.28515625" style="34" customWidth="1"/>
    <col min="9219" max="9219" width="11.140625" style="34" customWidth="1"/>
    <col min="9220" max="9220" width="7.7109375" style="34" customWidth="1"/>
    <col min="9221" max="9221" width="12.42578125" style="34" customWidth="1"/>
    <col min="9222" max="9222" width="9.140625" style="34"/>
    <col min="9223" max="9223" width="3.42578125" style="34" customWidth="1"/>
    <col min="9224" max="9224" width="44.28515625" style="34" customWidth="1"/>
    <col min="9225" max="9228" width="9.140625" style="34"/>
    <col min="9229" max="9229" width="18.5703125" style="34" customWidth="1"/>
    <col min="9230" max="9230" width="9" style="34" customWidth="1"/>
    <col min="9231" max="9471" width="9.140625" style="34"/>
    <col min="9472" max="9472" width="3.28515625" style="34" customWidth="1"/>
    <col min="9473" max="9473" width="8.85546875" style="34" customWidth="1"/>
    <col min="9474" max="9474" width="8.28515625" style="34" customWidth="1"/>
    <col min="9475" max="9475" width="11.140625" style="34" customWidth="1"/>
    <col min="9476" max="9476" width="7.7109375" style="34" customWidth="1"/>
    <col min="9477" max="9477" width="12.42578125" style="34" customWidth="1"/>
    <col min="9478" max="9478" width="9.140625" style="34"/>
    <col min="9479" max="9479" width="3.42578125" style="34" customWidth="1"/>
    <col min="9480" max="9480" width="44.28515625" style="34" customWidth="1"/>
    <col min="9481" max="9484" width="9.140625" style="34"/>
    <col min="9485" max="9485" width="18.5703125" style="34" customWidth="1"/>
    <col min="9486" max="9486" width="9" style="34" customWidth="1"/>
    <col min="9487" max="9727" width="9.140625" style="34"/>
    <col min="9728" max="9728" width="3.28515625" style="34" customWidth="1"/>
    <col min="9729" max="9729" width="8.85546875" style="34" customWidth="1"/>
    <col min="9730" max="9730" width="8.28515625" style="34" customWidth="1"/>
    <col min="9731" max="9731" width="11.140625" style="34" customWidth="1"/>
    <col min="9732" max="9732" width="7.7109375" style="34" customWidth="1"/>
    <col min="9733" max="9733" width="12.42578125" style="34" customWidth="1"/>
    <col min="9734" max="9734" width="9.140625" style="34"/>
    <col min="9735" max="9735" width="3.42578125" style="34" customWidth="1"/>
    <col min="9736" max="9736" width="44.28515625" style="34" customWidth="1"/>
    <col min="9737" max="9740" width="9.140625" style="34"/>
    <col min="9741" max="9741" width="18.5703125" style="34" customWidth="1"/>
    <col min="9742" max="9742" width="9" style="34" customWidth="1"/>
    <col min="9743" max="9983" width="9.140625" style="34"/>
    <col min="9984" max="9984" width="3.28515625" style="34" customWidth="1"/>
    <col min="9985" max="9985" width="8.85546875" style="34" customWidth="1"/>
    <col min="9986" max="9986" width="8.28515625" style="34" customWidth="1"/>
    <col min="9987" max="9987" width="11.140625" style="34" customWidth="1"/>
    <col min="9988" max="9988" width="7.7109375" style="34" customWidth="1"/>
    <col min="9989" max="9989" width="12.42578125" style="34" customWidth="1"/>
    <col min="9990" max="9990" width="9.140625" style="34"/>
    <col min="9991" max="9991" width="3.42578125" style="34" customWidth="1"/>
    <col min="9992" max="9992" width="44.28515625" style="34" customWidth="1"/>
    <col min="9993" max="9996" width="9.140625" style="34"/>
    <col min="9997" max="9997" width="18.5703125" style="34" customWidth="1"/>
    <col min="9998" max="9998" width="9" style="34" customWidth="1"/>
    <col min="9999" max="10239" width="9.140625" style="34"/>
    <col min="10240" max="10240" width="3.28515625" style="34" customWidth="1"/>
    <col min="10241" max="10241" width="8.85546875" style="34" customWidth="1"/>
    <col min="10242" max="10242" width="8.28515625" style="34" customWidth="1"/>
    <col min="10243" max="10243" width="11.140625" style="34" customWidth="1"/>
    <col min="10244" max="10244" width="7.7109375" style="34" customWidth="1"/>
    <col min="10245" max="10245" width="12.42578125" style="34" customWidth="1"/>
    <col min="10246" max="10246" width="9.140625" style="34"/>
    <col min="10247" max="10247" width="3.42578125" style="34" customWidth="1"/>
    <col min="10248" max="10248" width="44.28515625" style="34" customWidth="1"/>
    <col min="10249" max="10252" width="9.140625" style="34"/>
    <col min="10253" max="10253" width="18.5703125" style="34" customWidth="1"/>
    <col min="10254" max="10254" width="9" style="34" customWidth="1"/>
    <col min="10255" max="10495" width="9.140625" style="34"/>
    <col min="10496" max="10496" width="3.28515625" style="34" customWidth="1"/>
    <col min="10497" max="10497" width="8.85546875" style="34" customWidth="1"/>
    <col min="10498" max="10498" width="8.28515625" style="34" customWidth="1"/>
    <col min="10499" max="10499" width="11.140625" style="34" customWidth="1"/>
    <col min="10500" max="10500" width="7.7109375" style="34" customWidth="1"/>
    <col min="10501" max="10501" width="12.42578125" style="34" customWidth="1"/>
    <col min="10502" max="10502" width="9.140625" style="34"/>
    <col min="10503" max="10503" width="3.42578125" style="34" customWidth="1"/>
    <col min="10504" max="10504" width="44.28515625" style="34" customWidth="1"/>
    <col min="10505" max="10508" width="9.140625" style="34"/>
    <col min="10509" max="10509" width="18.5703125" style="34" customWidth="1"/>
    <col min="10510" max="10510" width="9" style="34" customWidth="1"/>
    <col min="10511" max="10751" width="9.140625" style="34"/>
    <col min="10752" max="10752" width="3.28515625" style="34" customWidth="1"/>
    <col min="10753" max="10753" width="8.85546875" style="34" customWidth="1"/>
    <col min="10754" max="10754" width="8.28515625" style="34" customWidth="1"/>
    <col min="10755" max="10755" width="11.140625" style="34" customWidth="1"/>
    <col min="10756" max="10756" width="7.7109375" style="34" customWidth="1"/>
    <col min="10757" max="10757" width="12.42578125" style="34" customWidth="1"/>
    <col min="10758" max="10758" width="9.140625" style="34"/>
    <col min="10759" max="10759" width="3.42578125" style="34" customWidth="1"/>
    <col min="10760" max="10760" width="44.28515625" style="34" customWidth="1"/>
    <col min="10761" max="10764" width="9.140625" style="34"/>
    <col min="10765" max="10765" width="18.5703125" style="34" customWidth="1"/>
    <col min="10766" max="10766" width="9" style="34" customWidth="1"/>
    <col min="10767" max="11007" width="9.140625" style="34"/>
    <col min="11008" max="11008" width="3.28515625" style="34" customWidth="1"/>
    <col min="11009" max="11009" width="8.85546875" style="34" customWidth="1"/>
    <col min="11010" max="11010" width="8.28515625" style="34" customWidth="1"/>
    <col min="11011" max="11011" width="11.140625" style="34" customWidth="1"/>
    <col min="11012" max="11012" width="7.7109375" style="34" customWidth="1"/>
    <col min="11013" max="11013" width="12.42578125" style="34" customWidth="1"/>
    <col min="11014" max="11014" width="9.140625" style="34"/>
    <col min="11015" max="11015" width="3.42578125" style="34" customWidth="1"/>
    <col min="11016" max="11016" width="44.28515625" style="34" customWidth="1"/>
    <col min="11017" max="11020" width="9.140625" style="34"/>
    <col min="11021" max="11021" width="18.5703125" style="34" customWidth="1"/>
    <col min="11022" max="11022" width="9" style="34" customWidth="1"/>
    <col min="11023" max="11263" width="9.140625" style="34"/>
    <col min="11264" max="11264" width="3.28515625" style="34" customWidth="1"/>
    <col min="11265" max="11265" width="8.85546875" style="34" customWidth="1"/>
    <col min="11266" max="11266" width="8.28515625" style="34" customWidth="1"/>
    <col min="11267" max="11267" width="11.140625" style="34" customWidth="1"/>
    <col min="11268" max="11268" width="7.7109375" style="34" customWidth="1"/>
    <col min="11269" max="11269" width="12.42578125" style="34" customWidth="1"/>
    <col min="11270" max="11270" width="9.140625" style="34"/>
    <col min="11271" max="11271" width="3.42578125" style="34" customWidth="1"/>
    <col min="11272" max="11272" width="44.28515625" style="34" customWidth="1"/>
    <col min="11273" max="11276" width="9.140625" style="34"/>
    <col min="11277" max="11277" width="18.5703125" style="34" customWidth="1"/>
    <col min="11278" max="11278" width="9" style="34" customWidth="1"/>
    <col min="11279" max="11519" width="9.140625" style="34"/>
    <col min="11520" max="11520" width="3.28515625" style="34" customWidth="1"/>
    <col min="11521" max="11521" width="8.85546875" style="34" customWidth="1"/>
    <col min="11522" max="11522" width="8.28515625" style="34" customWidth="1"/>
    <col min="11523" max="11523" width="11.140625" style="34" customWidth="1"/>
    <col min="11524" max="11524" width="7.7109375" style="34" customWidth="1"/>
    <col min="11525" max="11525" width="12.42578125" style="34" customWidth="1"/>
    <col min="11526" max="11526" width="9.140625" style="34"/>
    <col min="11527" max="11527" width="3.42578125" style="34" customWidth="1"/>
    <col min="11528" max="11528" width="44.28515625" style="34" customWidth="1"/>
    <col min="11529" max="11532" width="9.140625" style="34"/>
    <col min="11533" max="11533" width="18.5703125" style="34" customWidth="1"/>
    <col min="11534" max="11534" width="9" style="34" customWidth="1"/>
    <col min="11535" max="11775" width="9.140625" style="34"/>
    <col min="11776" max="11776" width="3.28515625" style="34" customWidth="1"/>
    <col min="11777" max="11777" width="8.85546875" style="34" customWidth="1"/>
    <col min="11778" max="11778" width="8.28515625" style="34" customWidth="1"/>
    <col min="11779" max="11779" width="11.140625" style="34" customWidth="1"/>
    <col min="11780" max="11780" width="7.7109375" style="34" customWidth="1"/>
    <col min="11781" max="11781" width="12.42578125" style="34" customWidth="1"/>
    <col min="11782" max="11782" width="9.140625" style="34"/>
    <col min="11783" max="11783" width="3.42578125" style="34" customWidth="1"/>
    <col min="11784" max="11784" width="44.28515625" style="34" customWidth="1"/>
    <col min="11785" max="11788" width="9.140625" style="34"/>
    <col min="11789" max="11789" width="18.5703125" style="34" customWidth="1"/>
    <col min="11790" max="11790" width="9" style="34" customWidth="1"/>
    <col min="11791" max="12031" width="9.140625" style="34"/>
    <col min="12032" max="12032" width="3.28515625" style="34" customWidth="1"/>
    <col min="12033" max="12033" width="8.85546875" style="34" customWidth="1"/>
    <col min="12034" max="12034" width="8.28515625" style="34" customWidth="1"/>
    <col min="12035" max="12035" width="11.140625" style="34" customWidth="1"/>
    <col min="12036" max="12036" width="7.7109375" style="34" customWidth="1"/>
    <col min="12037" max="12037" width="12.42578125" style="34" customWidth="1"/>
    <col min="12038" max="12038" width="9.140625" style="34"/>
    <col min="12039" max="12039" width="3.42578125" style="34" customWidth="1"/>
    <col min="12040" max="12040" width="44.28515625" style="34" customWidth="1"/>
    <col min="12041" max="12044" width="9.140625" style="34"/>
    <col min="12045" max="12045" width="18.5703125" style="34" customWidth="1"/>
    <col min="12046" max="12046" width="9" style="34" customWidth="1"/>
    <col min="12047" max="12287" width="9.140625" style="34"/>
    <col min="12288" max="12288" width="3.28515625" style="34" customWidth="1"/>
    <col min="12289" max="12289" width="8.85546875" style="34" customWidth="1"/>
    <col min="12290" max="12290" width="8.28515625" style="34" customWidth="1"/>
    <col min="12291" max="12291" width="11.140625" style="34" customWidth="1"/>
    <col min="12292" max="12292" width="7.7109375" style="34" customWidth="1"/>
    <col min="12293" max="12293" width="12.42578125" style="34" customWidth="1"/>
    <col min="12294" max="12294" width="9.140625" style="34"/>
    <col min="12295" max="12295" width="3.42578125" style="34" customWidth="1"/>
    <col min="12296" max="12296" width="44.28515625" style="34" customWidth="1"/>
    <col min="12297" max="12300" width="9.140625" style="34"/>
    <col min="12301" max="12301" width="18.5703125" style="34" customWidth="1"/>
    <col min="12302" max="12302" width="9" style="34" customWidth="1"/>
    <col min="12303" max="12543" width="9.140625" style="34"/>
    <col min="12544" max="12544" width="3.28515625" style="34" customWidth="1"/>
    <col min="12545" max="12545" width="8.85546875" style="34" customWidth="1"/>
    <col min="12546" max="12546" width="8.28515625" style="34" customWidth="1"/>
    <col min="12547" max="12547" width="11.140625" style="34" customWidth="1"/>
    <col min="12548" max="12548" width="7.7109375" style="34" customWidth="1"/>
    <col min="12549" max="12549" width="12.42578125" style="34" customWidth="1"/>
    <col min="12550" max="12550" width="9.140625" style="34"/>
    <col min="12551" max="12551" width="3.42578125" style="34" customWidth="1"/>
    <col min="12552" max="12552" width="44.28515625" style="34" customWidth="1"/>
    <col min="12553" max="12556" width="9.140625" style="34"/>
    <col min="12557" max="12557" width="18.5703125" style="34" customWidth="1"/>
    <col min="12558" max="12558" width="9" style="34" customWidth="1"/>
    <col min="12559" max="12799" width="9.140625" style="34"/>
    <col min="12800" max="12800" width="3.28515625" style="34" customWidth="1"/>
    <col min="12801" max="12801" width="8.85546875" style="34" customWidth="1"/>
    <col min="12802" max="12802" width="8.28515625" style="34" customWidth="1"/>
    <col min="12803" max="12803" width="11.140625" style="34" customWidth="1"/>
    <col min="12804" max="12804" width="7.7109375" style="34" customWidth="1"/>
    <col min="12805" max="12805" width="12.42578125" style="34" customWidth="1"/>
    <col min="12806" max="12806" width="9.140625" style="34"/>
    <col min="12807" max="12807" width="3.42578125" style="34" customWidth="1"/>
    <col min="12808" max="12808" width="44.28515625" style="34" customWidth="1"/>
    <col min="12809" max="12812" width="9.140625" style="34"/>
    <col min="12813" max="12813" width="18.5703125" style="34" customWidth="1"/>
    <col min="12814" max="12814" width="9" style="34" customWidth="1"/>
    <col min="12815" max="13055" width="9.140625" style="34"/>
    <col min="13056" max="13056" width="3.28515625" style="34" customWidth="1"/>
    <col min="13057" max="13057" width="8.85546875" style="34" customWidth="1"/>
    <col min="13058" max="13058" width="8.28515625" style="34" customWidth="1"/>
    <col min="13059" max="13059" width="11.140625" style="34" customWidth="1"/>
    <col min="13060" max="13060" width="7.7109375" style="34" customWidth="1"/>
    <col min="13061" max="13061" width="12.42578125" style="34" customWidth="1"/>
    <col min="13062" max="13062" width="9.140625" style="34"/>
    <col min="13063" max="13063" width="3.42578125" style="34" customWidth="1"/>
    <col min="13064" max="13064" width="44.28515625" style="34" customWidth="1"/>
    <col min="13065" max="13068" width="9.140625" style="34"/>
    <col min="13069" max="13069" width="18.5703125" style="34" customWidth="1"/>
    <col min="13070" max="13070" width="9" style="34" customWidth="1"/>
    <col min="13071" max="13311" width="9.140625" style="34"/>
    <col min="13312" max="13312" width="3.28515625" style="34" customWidth="1"/>
    <col min="13313" max="13313" width="8.85546875" style="34" customWidth="1"/>
    <col min="13314" max="13314" width="8.28515625" style="34" customWidth="1"/>
    <col min="13315" max="13315" width="11.140625" style="34" customWidth="1"/>
    <col min="13316" max="13316" width="7.7109375" style="34" customWidth="1"/>
    <col min="13317" max="13317" width="12.42578125" style="34" customWidth="1"/>
    <col min="13318" max="13318" width="9.140625" style="34"/>
    <col min="13319" max="13319" width="3.42578125" style="34" customWidth="1"/>
    <col min="13320" max="13320" width="44.28515625" style="34" customWidth="1"/>
    <col min="13321" max="13324" width="9.140625" style="34"/>
    <col min="13325" max="13325" width="18.5703125" style="34" customWidth="1"/>
    <col min="13326" max="13326" width="9" style="34" customWidth="1"/>
    <col min="13327" max="13567" width="9.140625" style="34"/>
    <col min="13568" max="13568" width="3.28515625" style="34" customWidth="1"/>
    <col min="13569" max="13569" width="8.85546875" style="34" customWidth="1"/>
    <col min="13570" max="13570" width="8.28515625" style="34" customWidth="1"/>
    <col min="13571" max="13571" width="11.140625" style="34" customWidth="1"/>
    <col min="13572" max="13572" width="7.7109375" style="34" customWidth="1"/>
    <col min="13573" max="13573" width="12.42578125" style="34" customWidth="1"/>
    <col min="13574" max="13574" width="9.140625" style="34"/>
    <col min="13575" max="13575" width="3.42578125" style="34" customWidth="1"/>
    <col min="13576" max="13576" width="44.28515625" style="34" customWidth="1"/>
    <col min="13577" max="13580" width="9.140625" style="34"/>
    <col min="13581" max="13581" width="18.5703125" style="34" customWidth="1"/>
    <col min="13582" max="13582" width="9" style="34" customWidth="1"/>
    <col min="13583" max="13823" width="9.140625" style="34"/>
    <col min="13824" max="13824" width="3.28515625" style="34" customWidth="1"/>
    <col min="13825" max="13825" width="8.85546875" style="34" customWidth="1"/>
    <col min="13826" max="13826" width="8.28515625" style="34" customWidth="1"/>
    <col min="13827" max="13827" width="11.140625" style="34" customWidth="1"/>
    <col min="13828" max="13828" width="7.7109375" style="34" customWidth="1"/>
    <col min="13829" max="13829" width="12.42578125" style="34" customWidth="1"/>
    <col min="13830" max="13830" width="9.140625" style="34"/>
    <col min="13831" max="13831" width="3.42578125" style="34" customWidth="1"/>
    <col min="13832" max="13832" width="44.28515625" style="34" customWidth="1"/>
    <col min="13833" max="13836" width="9.140625" style="34"/>
    <col min="13837" max="13837" width="18.5703125" style="34" customWidth="1"/>
    <col min="13838" max="13838" width="9" style="34" customWidth="1"/>
    <col min="13839" max="14079" width="9.140625" style="34"/>
    <col min="14080" max="14080" width="3.28515625" style="34" customWidth="1"/>
    <col min="14081" max="14081" width="8.85546875" style="34" customWidth="1"/>
    <col min="14082" max="14082" width="8.28515625" style="34" customWidth="1"/>
    <col min="14083" max="14083" width="11.140625" style="34" customWidth="1"/>
    <col min="14084" max="14084" width="7.7109375" style="34" customWidth="1"/>
    <col min="14085" max="14085" width="12.42578125" style="34" customWidth="1"/>
    <col min="14086" max="14086" width="9.140625" style="34"/>
    <col min="14087" max="14087" width="3.42578125" style="34" customWidth="1"/>
    <col min="14088" max="14088" width="44.28515625" style="34" customWidth="1"/>
    <col min="14089" max="14092" width="9.140625" style="34"/>
    <col min="14093" max="14093" width="18.5703125" style="34" customWidth="1"/>
    <col min="14094" max="14094" width="9" style="34" customWidth="1"/>
    <col min="14095" max="14335" width="9.140625" style="34"/>
    <col min="14336" max="14336" width="3.28515625" style="34" customWidth="1"/>
    <col min="14337" max="14337" width="8.85546875" style="34" customWidth="1"/>
    <col min="14338" max="14338" width="8.28515625" style="34" customWidth="1"/>
    <col min="14339" max="14339" width="11.140625" style="34" customWidth="1"/>
    <col min="14340" max="14340" width="7.7109375" style="34" customWidth="1"/>
    <col min="14341" max="14341" width="12.42578125" style="34" customWidth="1"/>
    <col min="14342" max="14342" width="9.140625" style="34"/>
    <col min="14343" max="14343" width="3.42578125" style="34" customWidth="1"/>
    <col min="14344" max="14344" width="44.28515625" style="34" customWidth="1"/>
    <col min="14345" max="14348" width="9.140625" style="34"/>
    <col min="14349" max="14349" width="18.5703125" style="34" customWidth="1"/>
    <col min="14350" max="14350" width="9" style="34" customWidth="1"/>
    <col min="14351" max="14591" width="9.140625" style="34"/>
    <col min="14592" max="14592" width="3.28515625" style="34" customWidth="1"/>
    <col min="14593" max="14593" width="8.85546875" style="34" customWidth="1"/>
    <col min="14594" max="14594" width="8.28515625" style="34" customWidth="1"/>
    <col min="14595" max="14595" width="11.140625" style="34" customWidth="1"/>
    <col min="14596" max="14596" width="7.7109375" style="34" customWidth="1"/>
    <col min="14597" max="14597" width="12.42578125" style="34" customWidth="1"/>
    <col min="14598" max="14598" width="9.140625" style="34"/>
    <col min="14599" max="14599" width="3.42578125" style="34" customWidth="1"/>
    <col min="14600" max="14600" width="44.28515625" style="34" customWidth="1"/>
    <col min="14601" max="14604" width="9.140625" style="34"/>
    <col min="14605" max="14605" width="18.5703125" style="34" customWidth="1"/>
    <col min="14606" max="14606" width="9" style="34" customWidth="1"/>
    <col min="14607" max="14847" width="9.140625" style="34"/>
    <col min="14848" max="14848" width="3.28515625" style="34" customWidth="1"/>
    <col min="14849" max="14849" width="8.85546875" style="34" customWidth="1"/>
    <col min="14850" max="14850" width="8.28515625" style="34" customWidth="1"/>
    <col min="14851" max="14851" width="11.140625" style="34" customWidth="1"/>
    <col min="14852" max="14852" width="7.7109375" style="34" customWidth="1"/>
    <col min="14853" max="14853" width="12.42578125" style="34" customWidth="1"/>
    <col min="14854" max="14854" width="9.140625" style="34"/>
    <col min="14855" max="14855" width="3.42578125" style="34" customWidth="1"/>
    <col min="14856" max="14856" width="44.28515625" style="34" customWidth="1"/>
    <col min="14857" max="14860" width="9.140625" style="34"/>
    <col min="14861" max="14861" width="18.5703125" style="34" customWidth="1"/>
    <col min="14862" max="14862" width="9" style="34" customWidth="1"/>
    <col min="14863" max="15103" width="9.140625" style="34"/>
    <col min="15104" max="15104" width="3.28515625" style="34" customWidth="1"/>
    <col min="15105" max="15105" width="8.85546875" style="34" customWidth="1"/>
    <col min="15106" max="15106" width="8.28515625" style="34" customWidth="1"/>
    <col min="15107" max="15107" width="11.140625" style="34" customWidth="1"/>
    <col min="15108" max="15108" width="7.7109375" style="34" customWidth="1"/>
    <col min="15109" max="15109" width="12.42578125" style="34" customWidth="1"/>
    <col min="15110" max="15110" width="9.140625" style="34"/>
    <col min="15111" max="15111" width="3.42578125" style="34" customWidth="1"/>
    <col min="15112" max="15112" width="44.28515625" style="34" customWidth="1"/>
    <col min="15113" max="15116" width="9.140625" style="34"/>
    <col min="15117" max="15117" width="18.5703125" style="34" customWidth="1"/>
    <col min="15118" max="15118" width="9" style="34" customWidth="1"/>
    <col min="15119" max="15359" width="9.140625" style="34"/>
    <col min="15360" max="15360" width="3.28515625" style="34" customWidth="1"/>
    <col min="15361" max="15361" width="8.85546875" style="34" customWidth="1"/>
    <col min="15362" max="15362" width="8.28515625" style="34" customWidth="1"/>
    <col min="15363" max="15363" width="11.140625" style="34" customWidth="1"/>
    <col min="15364" max="15364" width="7.7109375" style="34" customWidth="1"/>
    <col min="15365" max="15365" width="12.42578125" style="34" customWidth="1"/>
    <col min="15366" max="15366" width="9.140625" style="34"/>
    <col min="15367" max="15367" width="3.42578125" style="34" customWidth="1"/>
    <col min="15368" max="15368" width="44.28515625" style="34" customWidth="1"/>
    <col min="15369" max="15372" width="9.140625" style="34"/>
    <col min="15373" max="15373" width="18.5703125" style="34" customWidth="1"/>
    <col min="15374" max="15374" width="9" style="34" customWidth="1"/>
    <col min="15375" max="15615" width="9.140625" style="34"/>
    <col min="15616" max="15616" width="3.28515625" style="34" customWidth="1"/>
    <col min="15617" max="15617" width="8.85546875" style="34" customWidth="1"/>
    <col min="15618" max="15618" width="8.28515625" style="34" customWidth="1"/>
    <col min="15619" max="15619" width="11.140625" style="34" customWidth="1"/>
    <col min="15620" max="15620" width="7.7109375" style="34" customWidth="1"/>
    <col min="15621" max="15621" width="12.42578125" style="34" customWidth="1"/>
    <col min="15622" max="15622" width="9.140625" style="34"/>
    <col min="15623" max="15623" width="3.42578125" style="34" customWidth="1"/>
    <col min="15624" max="15624" width="44.28515625" style="34" customWidth="1"/>
    <col min="15625" max="15628" width="9.140625" style="34"/>
    <col min="15629" max="15629" width="18.5703125" style="34" customWidth="1"/>
    <col min="15630" max="15630" width="9" style="34" customWidth="1"/>
    <col min="15631" max="15871" width="9.140625" style="34"/>
    <col min="15872" max="15872" width="3.28515625" style="34" customWidth="1"/>
    <col min="15873" max="15873" width="8.85546875" style="34" customWidth="1"/>
    <col min="15874" max="15874" width="8.28515625" style="34" customWidth="1"/>
    <col min="15875" max="15875" width="11.140625" style="34" customWidth="1"/>
    <col min="15876" max="15876" width="7.7109375" style="34" customWidth="1"/>
    <col min="15877" max="15877" width="12.42578125" style="34" customWidth="1"/>
    <col min="15878" max="15878" width="9.140625" style="34"/>
    <col min="15879" max="15879" width="3.42578125" style="34" customWidth="1"/>
    <col min="15880" max="15880" width="44.28515625" style="34" customWidth="1"/>
    <col min="15881" max="15884" width="9.140625" style="34"/>
    <col min="15885" max="15885" width="18.5703125" style="34" customWidth="1"/>
    <col min="15886" max="15886" width="9" style="34" customWidth="1"/>
    <col min="15887" max="16127" width="9.140625" style="34"/>
    <col min="16128" max="16128" width="3.28515625" style="34" customWidth="1"/>
    <col min="16129" max="16129" width="8.85546875" style="34" customWidth="1"/>
    <col min="16130" max="16130" width="8.28515625" style="34" customWidth="1"/>
    <col min="16131" max="16131" width="11.140625" style="34" customWidth="1"/>
    <col min="16132" max="16132" width="7.7109375" style="34" customWidth="1"/>
    <col min="16133" max="16133" width="12.42578125" style="34" customWidth="1"/>
    <col min="16134" max="16134" width="9.140625" style="34"/>
    <col min="16135" max="16135" width="3.42578125" style="34" customWidth="1"/>
    <col min="16136" max="16136" width="44.28515625" style="34" customWidth="1"/>
    <col min="16137" max="16140" width="9.140625" style="34"/>
    <col min="16141" max="16141" width="18.5703125" style="34" customWidth="1"/>
    <col min="16142" max="16142" width="9" style="34" customWidth="1"/>
    <col min="16143" max="16384" width="9.140625" style="34"/>
  </cols>
  <sheetData>
    <row r="1" spans="1:31" s="82" customFormat="1" ht="29.25" customHeight="1" x14ac:dyDescent="0.25">
      <c r="A1" s="81"/>
      <c r="B1" s="188" t="s">
        <v>261</v>
      </c>
      <c r="C1" s="188"/>
      <c r="D1" s="188"/>
      <c r="E1" s="90"/>
      <c r="F1" s="90"/>
      <c r="G1" s="90"/>
      <c r="H1" s="90"/>
      <c r="J1" s="106"/>
      <c r="K1" s="188" t="s">
        <v>262</v>
      </c>
      <c r="L1" s="188"/>
      <c r="M1" s="188"/>
      <c r="S1" s="116"/>
      <c r="T1" s="188" t="s">
        <v>263</v>
      </c>
      <c r="U1" s="188"/>
      <c r="V1" s="188"/>
    </row>
    <row r="2" spans="1:31" s="90" customFormat="1" ht="15.75" customHeight="1" thickBot="1" x14ac:dyDescent="0.3">
      <c r="A2" s="102"/>
      <c r="J2" s="105"/>
      <c r="N2" s="168"/>
      <c r="O2" s="168"/>
      <c r="P2" s="168"/>
    </row>
    <row r="3" spans="1:31" ht="29.25" customHeight="1" thickBot="1" x14ac:dyDescent="0.3">
      <c r="A3" s="264" t="s">
        <v>515</v>
      </c>
      <c r="B3" s="265"/>
      <c r="C3" s="265"/>
      <c r="D3" s="265"/>
      <c r="E3" s="265"/>
      <c r="F3" s="265"/>
      <c r="G3" s="265"/>
      <c r="H3" s="266"/>
      <c r="I3" s="91"/>
      <c r="J3" s="264" t="s">
        <v>516</v>
      </c>
      <c r="K3" s="265"/>
      <c r="L3" s="265"/>
      <c r="M3" s="265"/>
      <c r="N3" s="265"/>
      <c r="O3" s="265"/>
      <c r="P3" s="265"/>
      <c r="Q3" s="266"/>
      <c r="S3" s="270" t="s">
        <v>556</v>
      </c>
      <c r="T3" s="271"/>
      <c r="U3" s="271"/>
      <c r="V3" s="271"/>
      <c r="W3" s="271"/>
      <c r="X3" s="271"/>
      <c r="Y3" s="271"/>
      <c r="Z3" s="271"/>
      <c r="AA3" s="235" t="s">
        <v>381</v>
      </c>
      <c r="AB3" s="235"/>
      <c r="AC3" s="235"/>
      <c r="AD3" s="235"/>
      <c r="AE3" s="235"/>
    </row>
    <row r="4" spans="1:31" ht="51" customHeight="1" x14ac:dyDescent="0.25">
      <c r="A4" s="92" t="s">
        <v>504</v>
      </c>
      <c r="B4" s="93" t="s">
        <v>127</v>
      </c>
      <c r="C4" s="94" t="s">
        <v>128</v>
      </c>
      <c r="D4" s="250" t="s">
        <v>503</v>
      </c>
      <c r="E4" s="251"/>
      <c r="F4" s="251"/>
      <c r="G4" s="252"/>
      <c r="H4" s="104" t="s">
        <v>505</v>
      </c>
      <c r="I4" s="36"/>
      <c r="J4" s="92" t="s">
        <v>504</v>
      </c>
      <c r="K4" s="93" t="s">
        <v>518</v>
      </c>
      <c r="L4" s="93" t="s">
        <v>519</v>
      </c>
      <c r="M4" s="94" t="s">
        <v>128</v>
      </c>
      <c r="N4" s="267" t="s">
        <v>503</v>
      </c>
      <c r="O4" s="268"/>
      <c r="P4" s="269"/>
      <c r="Q4" s="95" t="s">
        <v>451</v>
      </c>
      <c r="S4" s="117" t="s">
        <v>504</v>
      </c>
      <c r="T4" s="118" t="s">
        <v>540</v>
      </c>
      <c r="U4" s="118" t="s">
        <v>541</v>
      </c>
      <c r="V4" s="118" t="s">
        <v>128</v>
      </c>
      <c r="W4" s="272" t="s">
        <v>503</v>
      </c>
      <c r="X4" s="273"/>
      <c r="Y4" s="273"/>
      <c r="Z4" s="118" t="s">
        <v>451</v>
      </c>
      <c r="AA4" s="236"/>
      <c r="AB4" s="236"/>
      <c r="AC4" s="236"/>
      <c r="AD4" s="236"/>
      <c r="AE4" s="237"/>
    </row>
    <row r="5" spans="1:31" ht="59.25" customHeight="1" x14ac:dyDescent="0.25">
      <c r="A5" s="96" t="s">
        <v>264</v>
      </c>
      <c r="B5" s="80">
        <v>150</v>
      </c>
      <c r="C5" s="84" t="s">
        <v>115</v>
      </c>
      <c r="D5" s="248" t="s">
        <v>492</v>
      </c>
      <c r="E5" s="249"/>
      <c r="F5" s="249"/>
      <c r="G5" s="249"/>
      <c r="H5" s="85" t="s">
        <v>506</v>
      </c>
      <c r="J5" s="96" t="s">
        <v>272</v>
      </c>
      <c r="K5" s="107">
        <f>2*B10*B9/85*100</f>
        <v>5.8823529411764701</v>
      </c>
      <c r="L5" s="80">
        <v>2.2000000000000002</v>
      </c>
      <c r="M5" s="84" t="s">
        <v>226</v>
      </c>
      <c r="N5" s="240" t="s">
        <v>520</v>
      </c>
      <c r="O5" s="182"/>
      <c r="P5" s="247"/>
      <c r="Q5" s="85" t="s">
        <v>521</v>
      </c>
      <c r="S5" s="96" t="s">
        <v>135</v>
      </c>
      <c r="T5" s="97">
        <f>B9</f>
        <v>5</v>
      </c>
      <c r="U5" s="111">
        <f>2/L13*(L14+L15)/L15*L12-1.7</f>
        <v>4.9428571428571422</v>
      </c>
      <c r="V5" s="38" t="s">
        <v>115</v>
      </c>
      <c r="W5" s="182" t="s">
        <v>496</v>
      </c>
      <c r="X5" s="183"/>
      <c r="Y5" s="183"/>
      <c r="Z5" s="77" t="s">
        <v>549</v>
      </c>
      <c r="AA5" s="181"/>
      <c r="AB5" s="181"/>
      <c r="AC5" s="181"/>
      <c r="AD5" s="181"/>
      <c r="AE5" s="238"/>
    </row>
    <row r="6" spans="1:31" ht="55.5" customHeight="1" x14ac:dyDescent="0.25">
      <c r="A6" s="96" t="s">
        <v>265</v>
      </c>
      <c r="B6" s="80">
        <v>265</v>
      </c>
      <c r="C6" s="84" t="s">
        <v>115</v>
      </c>
      <c r="D6" s="248" t="s">
        <v>493</v>
      </c>
      <c r="E6" s="249"/>
      <c r="F6" s="249"/>
      <c r="G6" s="249"/>
      <c r="H6" s="85" t="s">
        <v>506</v>
      </c>
      <c r="J6" s="96" t="s">
        <v>273</v>
      </c>
      <c r="K6" s="107">
        <f>SQRT(2)*B5*1.05-B9*B10/B8*100*0.8/SQRT(2)/B5/2/B7/L5*1000000</f>
        <v>169.16994052932708</v>
      </c>
      <c r="L6" s="38"/>
      <c r="M6" s="84" t="s">
        <v>115</v>
      </c>
      <c r="N6" s="240" t="s">
        <v>522</v>
      </c>
      <c r="O6" s="182"/>
      <c r="P6" s="247"/>
      <c r="Q6" s="85" t="s">
        <v>531</v>
      </c>
      <c r="S6" s="96" t="s">
        <v>249</v>
      </c>
      <c r="T6" s="97">
        <f>B10</f>
        <v>0.5</v>
      </c>
      <c r="U6" s="112">
        <f>0.25*0.48/L9*L11/L12*90%</f>
        <v>0.60923076923076924</v>
      </c>
      <c r="V6" s="38" t="s">
        <v>55</v>
      </c>
      <c r="W6" s="182" t="s">
        <v>542</v>
      </c>
      <c r="X6" s="183"/>
      <c r="Y6" s="183"/>
      <c r="Z6" s="77" t="s">
        <v>550</v>
      </c>
      <c r="AA6" s="182" t="s">
        <v>282</v>
      </c>
      <c r="AB6" s="182"/>
      <c r="AC6" s="182"/>
      <c r="AD6" s="182"/>
      <c r="AE6" s="241"/>
    </row>
    <row r="7" spans="1:31" ht="111.75" customHeight="1" x14ac:dyDescent="0.25">
      <c r="A7" s="96" t="s">
        <v>266</v>
      </c>
      <c r="B7" s="80">
        <v>50</v>
      </c>
      <c r="C7" s="84" t="s">
        <v>176</v>
      </c>
      <c r="D7" s="248" t="s">
        <v>494</v>
      </c>
      <c r="E7" s="249"/>
      <c r="F7" s="249"/>
      <c r="G7" s="249"/>
      <c r="H7" s="85" t="s">
        <v>506</v>
      </c>
      <c r="J7" s="96" t="s">
        <v>274</v>
      </c>
      <c r="K7" s="108">
        <f>K6*(4*(B8+15)*0.01/(2*B9)-1/(B9+0.7))</f>
        <v>34.605640466174627</v>
      </c>
      <c r="L7" s="80">
        <v>9</v>
      </c>
      <c r="M7" s="84"/>
      <c r="N7" s="240" t="s">
        <v>523</v>
      </c>
      <c r="O7" s="182"/>
      <c r="P7" s="247"/>
      <c r="Q7" s="85" t="s">
        <v>537</v>
      </c>
      <c r="S7" s="96" t="s">
        <v>250</v>
      </c>
      <c r="T7" s="97">
        <f>B14</f>
        <v>10</v>
      </c>
      <c r="U7" s="113">
        <f>(U5+0.4)/L12*L13-0.7</f>
        <v>10.807692307692308</v>
      </c>
      <c r="V7" s="38" t="s">
        <v>115</v>
      </c>
      <c r="W7" s="182" t="s">
        <v>543</v>
      </c>
      <c r="X7" s="183"/>
      <c r="Y7" s="183"/>
      <c r="Z7" s="77" t="s">
        <v>551</v>
      </c>
      <c r="AA7" s="182" t="s">
        <v>251</v>
      </c>
      <c r="AB7" s="182"/>
      <c r="AC7" s="182"/>
      <c r="AD7" s="182"/>
      <c r="AE7" s="241"/>
    </row>
    <row r="8" spans="1:31" ht="55.5" customHeight="1" x14ac:dyDescent="0.25">
      <c r="A8" s="96" t="s">
        <v>267</v>
      </c>
      <c r="B8" s="80">
        <v>80</v>
      </c>
      <c r="C8" s="84" t="s">
        <v>268</v>
      </c>
      <c r="D8" s="248" t="s">
        <v>495</v>
      </c>
      <c r="E8" s="249"/>
      <c r="F8" s="249"/>
      <c r="G8" s="249"/>
      <c r="H8" s="85" t="s">
        <v>507</v>
      </c>
      <c r="J8" s="96" t="s">
        <v>54</v>
      </c>
      <c r="K8" s="109">
        <f>4*B10/L7</f>
        <v>0.22222222222222221</v>
      </c>
      <c r="L8" s="109">
        <f>0.512/L9</f>
        <v>0.34133333333333332</v>
      </c>
      <c r="M8" s="84" t="s">
        <v>55</v>
      </c>
      <c r="N8" s="240" t="s">
        <v>524</v>
      </c>
      <c r="O8" s="182"/>
      <c r="P8" s="247"/>
      <c r="Q8" s="85" t="s">
        <v>531</v>
      </c>
      <c r="S8" s="96" t="s">
        <v>252</v>
      </c>
      <c r="T8" s="97">
        <f>B11</f>
        <v>55</v>
      </c>
      <c r="U8" s="113">
        <f>2*B10*B9/B8/L10/L8/L8*100</f>
        <v>53.644180297851563</v>
      </c>
      <c r="V8" s="38" t="s">
        <v>253</v>
      </c>
      <c r="W8" s="182" t="s">
        <v>544</v>
      </c>
      <c r="X8" s="183"/>
      <c r="Y8" s="183"/>
      <c r="Z8" s="77" t="s">
        <v>552</v>
      </c>
      <c r="AA8" s="182" t="s">
        <v>254</v>
      </c>
      <c r="AB8" s="182"/>
      <c r="AC8" s="182"/>
      <c r="AD8" s="182"/>
      <c r="AE8" s="241"/>
    </row>
    <row r="9" spans="1:31" ht="57.75" customHeight="1" x14ac:dyDescent="0.25">
      <c r="A9" s="96" t="s">
        <v>135</v>
      </c>
      <c r="B9" s="80">
        <v>5</v>
      </c>
      <c r="C9" s="84" t="s">
        <v>115</v>
      </c>
      <c r="D9" s="248" t="s">
        <v>496</v>
      </c>
      <c r="E9" s="249"/>
      <c r="F9" s="249"/>
      <c r="G9" s="249"/>
      <c r="H9" s="85" t="s">
        <v>508</v>
      </c>
      <c r="J9" s="96" t="s">
        <v>53</v>
      </c>
      <c r="K9" s="108">
        <f>0.48/K8*0.9</f>
        <v>1.9440000000000002</v>
      </c>
      <c r="L9" s="80">
        <v>1.5</v>
      </c>
      <c r="M9" s="84" t="s">
        <v>275</v>
      </c>
      <c r="N9" s="240" t="s">
        <v>525</v>
      </c>
      <c r="O9" s="182"/>
      <c r="P9" s="247"/>
      <c r="Q9" s="85" t="s">
        <v>536</v>
      </c>
      <c r="S9" s="96" t="s">
        <v>255</v>
      </c>
      <c r="T9" s="97">
        <f>B13</f>
        <v>290</v>
      </c>
      <c r="U9" s="113">
        <f>0.5/L9*L10/B12/L11*1000000</f>
        <v>177.21070352649301</v>
      </c>
      <c r="V9" s="38" t="s">
        <v>256</v>
      </c>
      <c r="W9" s="182" t="s">
        <v>545</v>
      </c>
      <c r="X9" s="183"/>
      <c r="Y9" s="183"/>
      <c r="Z9" s="77" t="s">
        <v>553</v>
      </c>
      <c r="AA9" s="181"/>
      <c r="AB9" s="181"/>
      <c r="AC9" s="181"/>
      <c r="AD9" s="181"/>
      <c r="AE9" s="238"/>
    </row>
    <row r="10" spans="1:31" ht="72" customHeight="1" x14ac:dyDescent="0.25">
      <c r="A10" s="96" t="s">
        <v>249</v>
      </c>
      <c r="B10" s="80">
        <v>0.5</v>
      </c>
      <c r="C10" s="84" t="s">
        <v>55</v>
      </c>
      <c r="D10" s="248" t="s">
        <v>497</v>
      </c>
      <c r="E10" s="249"/>
      <c r="F10" s="249"/>
      <c r="G10" s="249"/>
      <c r="H10" s="85" t="s">
        <v>509</v>
      </c>
      <c r="J10" s="96" t="s">
        <v>183</v>
      </c>
      <c r="K10" s="108">
        <f>2*B9*B10/(B8*1.1)*100/(0.5/L9)/(0.5/L9)/B11</f>
        <v>0.9297520661157026</v>
      </c>
      <c r="L10" s="80">
        <v>1</v>
      </c>
      <c r="M10" s="84" t="s">
        <v>236</v>
      </c>
      <c r="N10" s="240" t="s">
        <v>526</v>
      </c>
      <c r="O10" s="182"/>
      <c r="P10" s="247"/>
      <c r="Q10" s="85" t="s">
        <v>532</v>
      </c>
      <c r="S10" s="96" t="s">
        <v>257</v>
      </c>
      <c r="T10" s="98">
        <f>(U5+0.3)/L12*L11+SQRT(2)*B6+(L10*100)</f>
        <v>519.12923139150757</v>
      </c>
      <c r="U10" s="113">
        <f>T10</f>
        <v>519.12923139150757</v>
      </c>
      <c r="V10" s="38" t="s">
        <v>115</v>
      </c>
      <c r="W10" s="182" t="s">
        <v>546</v>
      </c>
      <c r="X10" s="183"/>
      <c r="Y10" s="183"/>
      <c r="Z10" s="77" t="s">
        <v>554</v>
      </c>
      <c r="AA10" s="182" t="s">
        <v>258</v>
      </c>
      <c r="AB10" s="182"/>
      <c r="AC10" s="182"/>
      <c r="AD10" s="182"/>
      <c r="AE10" s="241"/>
    </row>
    <row r="11" spans="1:31" ht="87" customHeight="1" x14ac:dyDescent="0.25">
      <c r="A11" s="96" t="s">
        <v>252</v>
      </c>
      <c r="B11" s="80">
        <v>55</v>
      </c>
      <c r="C11" s="84" t="s">
        <v>253</v>
      </c>
      <c r="D11" s="248" t="s">
        <v>498</v>
      </c>
      <c r="E11" s="249"/>
      <c r="F11" s="249"/>
      <c r="G11" s="249"/>
      <c r="H11" s="85" t="s">
        <v>510</v>
      </c>
      <c r="J11" s="96" t="s">
        <v>276</v>
      </c>
      <c r="K11" s="107">
        <f>L10*(0.5/L9)*1000000/(B12*B13)</f>
        <v>67.217853061773198</v>
      </c>
      <c r="L11" s="80">
        <v>110</v>
      </c>
      <c r="M11" s="84" t="s">
        <v>277</v>
      </c>
      <c r="N11" s="240" t="s">
        <v>527</v>
      </c>
      <c r="O11" s="182"/>
      <c r="P11" s="247"/>
      <c r="Q11" s="85" t="s">
        <v>533</v>
      </c>
      <c r="S11" s="83" t="s">
        <v>259</v>
      </c>
      <c r="T11" s="99">
        <f>U5+SQRT(2)*B6*L12/L11</f>
        <v>49.233454618996355</v>
      </c>
      <c r="U11" s="114">
        <f>T11</f>
        <v>49.233454618996355</v>
      </c>
      <c r="V11" s="38" t="s">
        <v>115</v>
      </c>
      <c r="W11" s="182" t="s">
        <v>547</v>
      </c>
      <c r="X11" s="183"/>
      <c r="Y11" s="183"/>
      <c r="Z11" s="77" t="s">
        <v>555</v>
      </c>
      <c r="AA11" s="242" t="s">
        <v>538</v>
      </c>
      <c r="AB11" s="242"/>
      <c r="AC11" s="242"/>
      <c r="AD11" s="242"/>
      <c r="AE11" s="243"/>
    </row>
    <row r="12" spans="1:31" ht="81.75" customHeight="1" thickBot="1" x14ac:dyDescent="0.3">
      <c r="A12" s="96" t="s">
        <v>269</v>
      </c>
      <c r="B12" s="80">
        <v>17.100000000000001</v>
      </c>
      <c r="C12" s="84" t="s">
        <v>130</v>
      </c>
      <c r="D12" s="248" t="s">
        <v>499</v>
      </c>
      <c r="E12" s="249"/>
      <c r="F12" s="249"/>
      <c r="G12" s="249"/>
      <c r="H12" s="85" t="s">
        <v>511</v>
      </c>
      <c r="J12" s="96" t="s">
        <v>247</v>
      </c>
      <c r="K12" s="110">
        <f>L11/L7</f>
        <v>12.222222222222221</v>
      </c>
      <c r="L12" s="80">
        <v>13</v>
      </c>
      <c r="M12" s="84" t="s">
        <v>277</v>
      </c>
      <c r="N12" s="240" t="s">
        <v>750</v>
      </c>
      <c r="O12" s="182"/>
      <c r="P12" s="247"/>
      <c r="Q12" s="85" t="s">
        <v>534</v>
      </c>
      <c r="S12" s="86" t="s">
        <v>260</v>
      </c>
      <c r="T12" s="100">
        <f>U7+SQRT(2)*B6*L13/L11</f>
        <v>106.2028253332229</v>
      </c>
      <c r="U12" s="115">
        <f>T12</f>
        <v>106.2028253332229</v>
      </c>
      <c r="V12" s="119" t="s">
        <v>115</v>
      </c>
      <c r="W12" s="244" t="s">
        <v>548</v>
      </c>
      <c r="X12" s="230"/>
      <c r="Y12" s="230"/>
      <c r="Z12" s="120" t="s">
        <v>555</v>
      </c>
      <c r="AA12" s="245" t="s">
        <v>539</v>
      </c>
      <c r="AB12" s="245"/>
      <c r="AC12" s="245"/>
      <c r="AD12" s="245"/>
      <c r="AE12" s="246"/>
    </row>
    <row r="13" spans="1:31" ht="43.5" customHeight="1" x14ac:dyDescent="0.25">
      <c r="A13" s="96" t="s">
        <v>255</v>
      </c>
      <c r="B13" s="80">
        <v>290</v>
      </c>
      <c r="C13" s="84" t="s">
        <v>256</v>
      </c>
      <c r="D13" s="248" t="s">
        <v>500</v>
      </c>
      <c r="E13" s="249"/>
      <c r="F13" s="249"/>
      <c r="G13" s="249"/>
      <c r="H13" s="85" t="s">
        <v>512</v>
      </c>
      <c r="J13" s="96" t="s">
        <v>278</v>
      </c>
      <c r="K13" s="107">
        <f>L12*(B14+0.7)/(B9+0.4)</f>
        <v>25.759259259259256</v>
      </c>
      <c r="L13" s="80">
        <v>28</v>
      </c>
      <c r="M13" s="84" t="s">
        <v>277</v>
      </c>
      <c r="N13" s="240" t="s">
        <v>528</v>
      </c>
      <c r="O13" s="182"/>
      <c r="P13" s="247"/>
      <c r="Q13" s="85" t="s">
        <v>535</v>
      </c>
    </row>
    <row r="14" spans="1:31" ht="43.5" customHeight="1" x14ac:dyDescent="0.25">
      <c r="A14" s="96" t="s">
        <v>250</v>
      </c>
      <c r="B14" s="80">
        <v>10</v>
      </c>
      <c r="C14" s="84" t="s">
        <v>115</v>
      </c>
      <c r="D14" s="248" t="s">
        <v>502</v>
      </c>
      <c r="E14" s="249"/>
      <c r="F14" s="249"/>
      <c r="G14" s="249"/>
      <c r="H14" s="85" t="s">
        <v>513</v>
      </c>
      <c r="J14" s="96" t="s">
        <v>279</v>
      </c>
      <c r="K14" s="108">
        <f>30*B15/1000*L13/L12</f>
        <v>19.384615384615383</v>
      </c>
      <c r="L14" s="80">
        <v>24</v>
      </c>
      <c r="M14" s="84" t="s">
        <v>517</v>
      </c>
      <c r="N14" s="240" t="s">
        <v>529</v>
      </c>
      <c r="O14" s="182"/>
      <c r="P14" s="247"/>
      <c r="Q14" s="85" t="s">
        <v>535</v>
      </c>
    </row>
    <row r="15" spans="1:31" ht="67.5" customHeight="1" thickBot="1" x14ac:dyDescent="0.3">
      <c r="A15" s="103" t="s">
        <v>270</v>
      </c>
      <c r="B15" s="87">
        <v>300</v>
      </c>
      <c r="C15" s="88" t="s">
        <v>271</v>
      </c>
      <c r="D15" s="229" t="s">
        <v>501</v>
      </c>
      <c r="E15" s="230"/>
      <c r="F15" s="230"/>
      <c r="G15" s="230"/>
      <c r="H15" s="89" t="s">
        <v>514</v>
      </c>
      <c r="J15" s="96" t="s">
        <v>280</v>
      </c>
      <c r="K15" s="108">
        <f>L14/((B9+0.15)*L13/L12/2-0.15)</f>
        <v>4.4476122594440479</v>
      </c>
      <c r="L15" s="80">
        <v>3.9</v>
      </c>
      <c r="M15" s="84" t="s">
        <v>517</v>
      </c>
      <c r="N15" s="240" t="s">
        <v>530</v>
      </c>
      <c r="O15" s="182"/>
      <c r="P15" s="182"/>
      <c r="Q15" s="85" t="s">
        <v>535</v>
      </c>
    </row>
    <row r="16" spans="1:31" x14ac:dyDescent="0.25">
      <c r="B16" s="101"/>
      <c r="D16" s="35"/>
      <c r="E16" s="35"/>
      <c r="F16" s="35"/>
      <c r="G16" s="35"/>
      <c r="H16" s="35"/>
    </row>
    <row r="17" spans="1:21" ht="28.5" customHeight="1" x14ac:dyDescent="0.25">
      <c r="A17" s="231" t="s">
        <v>574</v>
      </c>
      <c r="B17" s="232"/>
      <c r="C17" s="232"/>
      <c r="D17" s="232"/>
      <c r="E17" s="232"/>
      <c r="F17" s="232"/>
      <c r="G17" s="232"/>
      <c r="H17" s="232"/>
      <c r="I17" s="232"/>
      <c r="J17" s="232"/>
      <c r="K17" s="232"/>
      <c r="L17" s="232"/>
      <c r="M17" s="232"/>
    </row>
    <row r="18" spans="1:21" ht="27.75" customHeight="1" x14ac:dyDescent="0.25">
      <c r="A18" s="239" t="s">
        <v>557</v>
      </c>
      <c r="B18" s="239"/>
      <c r="C18" s="239"/>
      <c r="D18" s="38" t="s">
        <v>562</v>
      </c>
      <c r="E18" s="232">
        <v>0.32</v>
      </c>
      <c r="F18" s="232"/>
      <c r="G18" s="38" t="s">
        <v>245</v>
      </c>
      <c r="H18" s="182" t="s">
        <v>571</v>
      </c>
      <c r="I18" s="183"/>
      <c r="J18" s="183"/>
      <c r="K18" s="183"/>
      <c r="L18" s="183"/>
      <c r="M18" s="183"/>
      <c r="O18" s="24"/>
      <c r="P18" s="24"/>
      <c r="Q18"/>
      <c r="R18"/>
      <c r="S18"/>
      <c r="T18"/>
      <c r="U18"/>
    </row>
    <row r="19" spans="1:21" ht="27.75" customHeight="1" x14ac:dyDescent="0.25">
      <c r="A19" s="239" t="s">
        <v>558</v>
      </c>
      <c r="B19" s="239"/>
      <c r="C19" s="239"/>
      <c r="D19" s="38" t="s">
        <v>561</v>
      </c>
      <c r="E19" s="181">
        <f>3.141428*((E18/2)^2)</f>
        <v>8.0420556800000001E-2</v>
      </c>
      <c r="F19" s="181"/>
      <c r="G19" s="38" t="s">
        <v>130</v>
      </c>
      <c r="H19" s="183"/>
      <c r="I19" s="183"/>
      <c r="J19" s="183"/>
      <c r="K19" s="183"/>
      <c r="L19" s="183"/>
      <c r="M19" s="183"/>
      <c r="O19" s="24"/>
      <c r="P19" s="24"/>
      <c r="Q19"/>
      <c r="R19"/>
      <c r="S19"/>
      <c r="T19"/>
      <c r="U19"/>
    </row>
    <row r="20" spans="1:21" ht="48" customHeight="1" x14ac:dyDescent="0.25">
      <c r="A20" s="253" t="s">
        <v>565</v>
      </c>
      <c r="B20" s="253"/>
      <c r="C20" s="253"/>
      <c r="D20" s="38" t="s">
        <v>566</v>
      </c>
      <c r="E20" s="181">
        <f>6*E19</f>
        <v>0.48252334080000003</v>
      </c>
      <c r="F20" s="181"/>
      <c r="G20" s="38" t="s">
        <v>55</v>
      </c>
      <c r="H20" s="183"/>
      <c r="I20" s="183"/>
      <c r="J20" s="183"/>
      <c r="K20" s="183"/>
      <c r="L20" s="183"/>
      <c r="M20" s="183"/>
      <c r="O20" s="24"/>
      <c r="P20" s="24"/>
      <c r="Q20"/>
      <c r="R20"/>
      <c r="S20"/>
      <c r="T20"/>
      <c r="U20"/>
    </row>
    <row r="21" spans="1:21" ht="38.25" customHeight="1" x14ac:dyDescent="0.25">
      <c r="A21" s="254" t="s">
        <v>568</v>
      </c>
      <c r="B21" s="255"/>
      <c r="C21" s="255"/>
      <c r="D21" s="255"/>
      <c r="E21" s="255"/>
      <c r="F21" s="255"/>
      <c r="G21" s="255"/>
      <c r="H21" s="255"/>
      <c r="I21" s="255"/>
      <c r="J21" s="255"/>
      <c r="K21" s="255"/>
      <c r="L21" s="255"/>
      <c r="M21" s="256"/>
      <c r="O21" s="24"/>
      <c r="P21" s="24"/>
      <c r="Q21"/>
      <c r="R21"/>
      <c r="S21"/>
      <c r="T21"/>
      <c r="U21"/>
    </row>
    <row r="22" spans="1:21" ht="48" customHeight="1" x14ac:dyDescent="0.25">
      <c r="A22" s="253" t="s">
        <v>570</v>
      </c>
      <c r="B22" s="253"/>
      <c r="C22" s="253"/>
      <c r="D22" s="38" t="s">
        <v>569</v>
      </c>
      <c r="E22" s="181">
        <f>U6/(L11/L12)</f>
        <v>7.1999999999999995E-2</v>
      </c>
      <c r="F22" s="181"/>
      <c r="G22" s="38" t="s">
        <v>55</v>
      </c>
      <c r="H22" s="240" t="s">
        <v>281</v>
      </c>
      <c r="I22" s="182"/>
      <c r="J22" s="182"/>
      <c r="K22" s="182"/>
      <c r="L22" s="182"/>
      <c r="M22" s="182"/>
      <c r="O22" s="24"/>
      <c r="P22" s="24"/>
      <c r="Q22"/>
      <c r="R22"/>
      <c r="S22"/>
      <c r="T22"/>
      <c r="U22"/>
    </row>
    <row r="23" spans="1:21" ht="24.75" customHeight="1" x14ac:dyDescent="0.25">
      <c r="A23" s="239" t="s">
        <v>559</v>
      </c>
      <c r="B23" s="239"/>
      <c r="C23" s="239"/>
      <c r="D23" s="38" t="s">
        <v>560</v>
      </c>
      <c r="E23" s="232">
        <v>0.15</v>
      </c>
      <c r="F23" s="232"/>
      <c r="G23" s="38" t="s">
        <v>245</v>
      </c>
      <c r="H23" s="257" t="s">
        <v>572</v>
      </c>
      <c r="I23" s="258"/>
      <c r="J23" s="258"/>
      <c r="K23" s="258"/>
      <c r="L23" s="258"/>
      <c r="M23" s="259"/>
      <c r="O23" s="24"/>
      <c r="P23" s="24"/>
      <c r="Q23"/>
      <c r="R23"/>
      <c r="S23"/>
      <c r="T23"/>
      <c r="U23"/>
    </row>
    <row r="24" spans="1:21" ht="24.75" customHeight="1" x14ac:dyDescent="0.25">
      <c r="A24" s="239" t="s">
        <v>563</v>
      </c>
      <c r="B24" s="239"/>
      <c r="C24" s="239"/>
      <c r="D24" s="38" t="s">
        <v>573</v>
      </c>
      <c r="E24" s="181">
        <f>3.14*(E23/2)*(E23/2)</f>
        <v>1.7662499999999998E-2</v>
      </c>
      <c r="F24" s="181"/>
      <c r="G24" s="38" t="s">
        <v>130</v>
      </c>
      <c r="H24" s="260"/>
      <c r="I24" s="258"/>
      <c r="J24" s="258"/>
      <c r="K24" s="258"/>
      <c r="L24" s="258"/>
      <c r="M24" s="259"/>
      <c r="O24" s="24"/>
      <c r="P24" s="24"/>
      <c r="Q24"/>
      <c r="R24"/>
      <c r="S24"/>
      <c r="T24"/>
      <c r="U24"/>
    </row>
    <row r="25" spans="1:21" ht="42.75" customHeight="1" x14ac:dyDescent="0.25">
      <c r="A25" s="253" t="s">
        <v>564</v>
      </c>
      <c r="B25" s="253"/>
      <c r="C25" s="253"/>
      <c r="D25" s="38" t="s">
        <v>567</v>
      </c>
      <c r="E25" s="181">
        <f>6*E24</f>
        <v>0.10597499999999999</v>
      </c>
      <c r="F25" s="181"/>
      <c r="G25" s="38" t="s">
        <v>55</v>
      </c>
      <c r="H25" s="261"/>
      <c r="I25" s="262"/>
      <c r="J25" s="262"/>
      <c r="K25" s="262"/>
      <c r="L25" s="262"/>
      <c r="M25" s="263"/>
      <c r="O25" s="24"/>
      <c r="P25" s="24"/>
      <c r="Q25"/>
      <c r="R25"/>
      <c r="S25"/>
      <c r="T25"/>
      <c r="U25"/>
    </row>
    <row r="26" spans="1:21" ht="45" customHeight="1" x14ac:dyDescent="0.25">
      <c r="O26" s="24"/>
      <c r="P26" s="24"/>
      <c r="Q26"/>
      <c r="R26"/>
      <c r="S26"/>
      <c r="T26"/>
      <c r="U26"/>
    </row>
    <row r="27" spans="1:21" ht="45" customHeight="1" x14ac:dyDescent="0.25">
      <c r="A27" s="275" t="s">
        <v>582</v>
      </c>
      <c r="B27" s="276"/>
      <c r="C27" s="276"/>
      <c r="D27" s="276"/>
      <c r="E27" s="276"/>
      <c r="F27" s="276"/>
      <c r="G27" s="276"/>
      <c r="H27" s="277"/>
      <c r="I27"/>
      <c r="J27"/>
      <c r="K27"/>
      <c r="L27"/>
      <c r="M27"/>
      <c r="O27" s="24"/>
      <c r="P27" s="24"/>
      <c r="Q27"/>
      <c r="R27"/>
      <c r="S27"/>
      <c r="T27"/>
      <c r="U27"/>
    </row>
    <row r="28" spans="1:21" ht="26.25" customHeight="1" x14ac:dyDescent="0.25">
      <c r="A28" s="181" t="s">
        <v>478</v>
      </c>
      <c r="B28" s="181"/>
      <c r="C28" s="188" t="s">
        <v>490</v>
      </c>
      <c r="D28" s="188"/>
      <c r="E28" s="188"/>
      <c r="F28" s="188"/>
      <c r="G28" s="274" t="s">
        <v>583</v>
      </c>
      <c r="H28" s="183"/>
      <c r="O28" s="24"/>
      <c r="P28" s="24"/>
      <c r="Q28"/>
      <c r="R28"/>
      <c r="S28"/>
      <c r="T28"/>
      <c r="U28"/>
    </row>
    <row r="29" spans="1:21" ht="26.25" customHeight="1" x14ac:dyDescent="0.25">
      <c r="A29" s="181" t="s">
        <v>575</v>
      </c>
      <c r="B29" s="181"/>
      <c r="C29" s="181" t="s">
        <v>491</v>
      </c>
      <c r="D29" s="181"/>
      <c r="E29" s="181"/>
      <c r="F29" s="181"/>
      <c r="G29" s="183"/>
      <c r="H29" s="183"/>
      <c r="O29" s="24"/>
      <c r="P29" s="24"/>
      <c r="Q29"/>
      <c r="R29"/>
      <c r="S29"/>
      <c r="T29"/>
      <c r="U29"/>
    </row>
    <row r="30" spans="1:21" ht="26.25" customHeight="1" x14ac:dyDescent="0.25">
      <c r="A30" s="181" t="s">
        <v>283</v>
      </c>
      <c r="B30" s="181"/>
      <c r="C30" s="38" t="s">
        <v>578</v>
      </c>
      <c r="D30" s="181">
        <f>L10</f>
        <v>1</v>
      </c>
      <c r="E30" s="181"/>
      <c r="F30" s="38" t="s">
        <v>236</v>
      </c>
      <c r="G30" s="183"/>
      <c r="H30" s="183"/>
      <c r="O30" s="24"/>
      <c r="P30" s="24"/>
      <c r="Q30"/>
      <c r="R30"/>
      <c r="S30"/>
      <c r="T30"/>
      <c r="U30"/>
    </row>
    <row r="31" spans="1:21" ht="26.25" customHeight="1" x14ac:dyDescent="0.25">
      <c r="A31" s="181"/>
      <c r="B31" s="181"/>
      <c r="C31" s="38" t="s">
        <v>576</v>
      </c>
      <c r="D31" s="181">
        <f>E23</f>
        <v>0.15</v>
      </c>
      <c r="E31" s="181"/>
      <c r="F31" s="38" t="s">
        <v>245</v>
      </c>
      <c r="G31" s="183"/>
      <c r="H31" s="183"/>
      <c r="O31" s="24"/>
      <c r="P31" s="24"/>
      <c r="Q31"/>
      <c r="R31"/>
      <c r="S31"/>
      <c r="T31"/>
      <c r="U31"/>
    </row>
    <row r="32" spans="1:21" ht="26.25" customHeight="1" x14ac:dyDescent="0.25">
      <c r="A32" s="181"/>
      <c r="B32" s="181"/>
      <c r="C32" s="38" t="s">
        <v>577</v>
      </c>
      <c r="D32" s="181">
        <f>L11</f>
        <v>110</v>
      </c>
      <c r="E32" s="181"/>
      <c r="F32" s="38" t="s">
        <v>277</v>
      </c>
      <c r="G32" s="183"/>
      <c r="H32" s="183"/>
    </row>
    <row r="33" spans="1:18" ht="26.25" customHeight="1" x14ac:dyDescent="0.25">
      <c r="A33" s="181" t="s">
        <v>248</v>
      </c>
      <c r="B33" s="181"/>
      <c r="C33" s="38" t="s">
        <v>562</v>
      </c>
      <c r="D33" s="181">
        <f>E18</f>
        <v>0.32</v>
      </c>
      <c r="E33" s="181"/>
      <c r="F33" s="38" t="s">
        <v>245</v>
      </c>
      <c r="G33" s="183"/>
      <c r="H33" s="183"/>
    </row>
    <row r="34" spans="1:18" ht="26.25" customHeight="1" x14ac:dyDescent="0.25">
      <c r="A34" s="181"/>
      <c r="B34" s="181"/>
      <c r="C34" s="38" t="s">
        <v>579</v>
      </c>
      <c r="D34" s="181">
        <f>L12</f>
        <v>13</v>
      </c>
      <c r="E34" s="181"/>
      <c r="F34" s="38" t="s">
        <v>277</v>
      </c>
      <c r="G34" s="183"/>
      <c r="H34" s="183"/>
    </row>
    <row r="35" spans="1:18" ht="26.25" customHeight="1" x14ac:dyDescent="0.25">
      <c r="A35" s="181" t="s">
        <v>284</v>
      </c>
      <c r="B35" s="181"/>
      <c r="C35" s="38" t="s">
        <v>580</v>
      </c>
      <c r="D35" s="181">
        <f>E23</f>
        <v>0.15</v>
      </c>
      <c r="E35" s="181"/>
      <c r="F35" s="38" t="s">
        <v>245</v>
      </c>
      <c r="G35" s="183"/>
      <c r="H35" s="183"/>
    </row>
    <row r="36" spans="1:18" ht="26.25" customHeight="1" x14ac:dyDescent="0.25">
      <c r="A36" s="181"/>
      <c r="B36" s="181"/>
      <c r="C36" s="38" t="s">
        <v>581</v>
      </c>
      <c r="D36" s="181">
        <f>L13</f>
        <v>28</v>
      </c>
      <c r="E36" s="181"/>
      <c r="F36" s="38" t="s">
        <v>277</v>
      </c>
      <c r="G36" s="183"/>
      <c r="H36" s="183"/>
    </row>
    <row r="39" spans="1:18" ht="54" customHeight="1" x14ac:dyDescent="0.25">
      <c r="A39" s="233" t="s">
        <v>751</v>
      </c>
      <c r="B39" s="233"/>
      <c r="C39" s="233"/>
      <c r="D39" s="233"/>
      <c r="E39" s="233"/>
      <c r="F39" s="233"/>
      <c r="G39" s="233"/>
      <c r="I39"/>
      <c r="J39"/>
      <c r="K39"/>
      <c r="L39"/>
      <c r="M39"/>
      <c r="N39"/>
      <c r="O39"/>
      <c r="R39" s="170"/>
    </row>
    <row r="40" spans="1:18" ht="42" customHeight="1" x14ac:dyDescent="0.25">
      <c r="A40" s="8" t="s">
        <v>118</v>
      </c>
      <c r="B40" s="188" t="s">
        <v>319</v>
      </c>
      <c r="C40" s="188"/>
      <c r="D40" s="188"/>
      <c r="E40" s="188"/>
      <c r="F40" s="188"/>
      <c r="G40" s="228"/>
      <c r="I40"/>
      <c r="J40"/>
      <c r="K40"/>
      <c r="L40"/>
      <c r="M40"/>
      <c r="N40"/>
      <c r="O40"/>
    </row>
    <row r="41" spans="1:18" ht="33" customHeight="1" x14ac:dyDescent="0.25">
      <c r="A41" s="8">
        <v>1</v>
      </c>
      <c r="B41" s="183" t="s">
        <v>301</v>
      </c>
      <c r="C41" s="183"/>
      <c r="D41" s="181" t="s">
        <v>316</v>
      </c>
      <c r="E41" s="181"/>
      <c r="F41" s="181"/>
      <c r="G41" s="228"/>
      <c r="I41"/>
      <c r="J41"/>
      <c r="K41"/>
      <c r="L41"/>
      <c r="M41"/>
      <c r="N41"/>
      <c r="O41"/>
    </row>
    <row r="42" spans="1:18" ht="45" customHeight="1" x14ac:dyDescent="0.25">
      <c r="A42" s="8">
        <v>2</v>
      </c>
      <c r="B42" s="182" t="s">
        <v>313</v>
      </c>
      <c r="C42" s="183"/>
      <c r="D42" s="38" t="s">
        <v>303</v>
      </c>
      <c r="E42" s="38">
        <v>1000</v>
      </c>
      <c r="F42" s="140" t="s">
        <v>115</v>
      </c>
      <c r="G42" s="228"/>
      <c r="I42"/>
      <c r="J42"/>
      <c r="K42"/>
      <c r="L42"/>
      <c r="M42"/>
      <c r="N42"/>
      <c r="O42"/>
    </row>
    <row r="43" spans="1:18" ht="39" customHeight="1" x14ac:dyDescent="0.25">
      <c r="A43" s="8">
        <v>3</v>
      </c>
      <c r="B43" s="183" t="s">
        <v>312</v>
      </c>
      <c r="C43" s="183"/>
      <c r="D43" s="38" t="s">
        <v>304</v>
      </c>
      <c r="E43" s="38">
        <v>600</v>
      </c>
      <c r="F43" s="140" t="s">
        <v>115</v>
      </c>
      <c r="G43" s="228"/>
      <c r="I43"/>
      <c r="J43"/>
      <c r="K43"/>
      <c r="L43"/>
      <c r="M43"/>
      <c r="N43"/>
      <c r="O43"/>
    </row>
    <row r="44" spans="1:18" ht="60.75" customHeight="1" x14ac:dyDescent="0.25">
      <c r="A44" s="8">
        <v>4</v>
      </c>
      <c r="B44" s="182" t="s">
        <v>310</v>
      </c>
      <c r="C44" s="183"/>
      <c r="D44" s="38" t="s">
        <v>305</v>
      </c>
      <c r="E44" s="38">
        <v>1.7</v>
      </c>
      <c r="F44" s="140" t="s">
        <v>115</v>
      </c>
      <c r="G44" s="228"/>
      <c r="I44"/>
      <c r="J44"/>
      <c r="K44"/>
      <c r="L44"/>
      <c r="M44"/>
      <c r="N44"/>
      <c r="O44"/>
    </row>
    <row r="45" spans="1:18" s="35" customFormat="1" ht="53.25" customHeight="1" x14ac:dyDescent="0.25">
      <c r="A45" s="8">
        <v>5</v>
      </c>
      <c r="B45" s="182" t="s">
        <v>308</v>
      </c>
      <c r="C45" s="183"/>
      <c r="D45" s="38" t="s">
        <v>306</v>
      </c>
      <c r="E45" s="38">
        <v>30</v>
      </c>
      <c r="F45" s="140" t="s">
        <v>55</v>
      </c>
      <c r="G45" s="228"/>
      <c r="I45"/>
      <c r="J45"/>
      <c r="K45"/>
      <c r="L45"/>
      <c r="M45"/>
      <c r="N45"/>
      <c r="O45"/>
      <c r="P45" s="169"/>
    </row>
    <row r="46" spans="1:18" s="35" customFormat="1" ht="46.5" customHeight="1" x14ac:dyDescent="0.25">
      <c r="A46" s="8">
        <v>6</v>
      </c>
      <c r="B46" s="182" t="s">
        <v>311</v>
      </c>
      <c r="C46" s="183"/>
      <c r="D46" s="38" t="s">
        <v>307</v>
      </c>
      <c r="E46" s="38">
        <v>1</v>
      </c>
      <c r="F46" s="140" t="s">
        <v>55</v>
      </c>
      <c r="G46" s="228"/>
      <c r="I46"/>
      <c r="J46"/>
      <c r="K46"/>
      <c r="L46"/>
      <c r="M46"/>
      <c r="N46"/>
      <c r="O46"/>
      <c r="P46" s="169"/>
    </row>
    <row r="47" spans="1:18" ht="60.75" customHeight="1" x14ac:dyDescent="0.25">
      <c r="A47" s="234" t="s">
        <v>719</v>
      </c>
      <c r="B47" s="181"/>
      <c r="C47" s="181"/>
      <c r="D47" s="181"/>
      <c r="E47" s="181"/>
      <c r="F47" s="181"/>
      <c r="G47" s="181"/>
      <c r="I47"/>
      <c r="J47"/>
      <c r="K47"/>
      <c r="L47"/>
      <c r="M47"/>
      <c r="N47"/>
      <c r="O47"/>
    </row>
    <row r="48" spans="1:18" customFormat="1" ht="54.75" customHeight="1" x14ac:dyDescent="0.25">
      <c r="N48" s="24"/>
      <c r="O48" s="24"/>
      <c r="P48" s="24"/>
    </row>
    <row r="49" spans="14:16" customFormat="1" ht="61.5" customHeight="1" x14ac:dyDescent="0.25">
      <c r="N49" s="24"/>
      <c r="O49" s="24"/>
      <c r="P49" s="24"/>
    </row>
    <row r="50" spans="14:16" customFormat="1" ht="15.75" customHeight="1" x14ac:dyDescent="0.25">
      <c r="N50" s="24"/>
      <c r="O50" s="24"/>
      <c r="P50" s="24"/>
    </row>
    <row r="51" spans="14:16" customFormat="1" ht="15.75" customHeight="1" x14ac:dyDescent="0.25">
      <c r="N51" s="24"/>
      <c r="O51" s="24"/>
      <c r="P51" s="24"/>
    </row>
    <row r="52" spans="14:16" customFormat="1" ht="15.75" customHeight="1" x14ac:dyDescent="0.25">
      <c r="N52" s="24"/>
      <c r="O52" s="24"/>
      <c r="P52" s="24"/>
    </row>
    <row r="53" spans="14:16" customFormat="1" ht="15.75" customHeight="1" x14ac:dyDescent="0.25">
      <c r="N53" s="24"/>
      <c r="O53" s="24"/>
      <c r="P53" s="24"/>
    </row>
  </sheetData>
  <mergeCells count="95">
    <mergeCell ref="A28:B28"/>
    <mergeCell ref="A29:B29"/>
    <mergeCell ref="A30:B32"/>
    <mergeCell ref="A25:C25"/>
    <mergeCell ref="E25:F25"/>
    <mergeCell ref="A33:B34"/>
    <mergeCell ref="A35:B36"/>
    <mergeCell ref="D30:E30"/>
    <mergeCell ref="D31:E31"/>
    <mergeCell ref="D32:E32"/>
    <mergeCell ref="A3:H3"/>
    <mergeCell ref="E20:F20"/>
    <mergeCell ref="A20:C20"/>
    <mergeCell ref="E23:F23"/>
    <mergeCell ref="A24:C24"/>
    <mergeCell ref="E24:F24"/>
    <mergeCell ref="E22:F22"/>
    <mergeCell ref="B1:D1"/>
    <mergeCell ref="K1:M1"/>
    <mergeCell ref="T1:V1"/>
    <mergeCell ref="D9:G9"/>
    <mergeCell ref="D10:G10"/>
    <mergeCell ref="J3:Q3"/>
    <mergeCell ref="N4:P4"/>
    <mergeCell ref="N5:P5"/>
    <mergeCell ref="N6:P6"/>
    <mergeCell ref="N7:P7"/>
    <mergeCell ref="N8:P8"/>
    <mergeCell ref="N9:P9"/>
    <mergeCell ref="N10:P10"/>
    <mergeCell ref="S3:Z3"/>
    <mergeCell ref="W4:Y4"/>
    <mergeCell ref="W5:Y5"/>
    <mergeCell ref="W9:Y9"/>
    <mergeCell ref="AA9:AE9"/>
    <mergeCell ref="W6:Y6"/>
    <mergeCell ref="AA6:AE6"/>
    <mergeCell ref="A22:C22"/>
    <mergeCell ref="A21:M21"/>
    <mergeCell ref="D6:G6"/>
    <mergeCell ref="D7:G7"/>
    <mergeCell ref="D8:G8"/>
    <mergeCell ref="D4:G4"/>
    <mergeCell ref="W7:Y7"/>
    <mergeCell ref="AA7:AE7"/>
    <mergeCell ref="W8:Y8"/>
    <mergeCell ref="AA8:AE8"/>
    <mergeCell ref="D5:G5"/>
    <mergeCell ref="N14:P14"/>
    <mergeCell ref="N15:P15"/>
    <mergeCell ref="D11:G11"/>
    <mergeCell ref="D12:G12"/>
    <mergeCell ref="D13:G13"/>
    <mergeCell ref="D14:G14"/>
    <mergeCell ref="AA3:AE3"/>
    <mergeCell ref="AA4:AE4"/>
    <mergeCell ref="AA5:AE5"/>
    <mergeCell ref="A18:C18"/>
    <mergeCell ref="A19:C19"/>
    <mergeCell ref="H18:M20"/>
    <mergeCell ref="E18:F18"/>
    <mergeCell ref="W10:Y10"/>
    <mergeCell ref="AA10:AE10"/>
    <mergeCell ref="W11:Y11"/>
    <mergeCell ref="AA11:AE11"/>
    <mergeCell ref="W12:Y12"/>
    <mergeCell ref="AA12:AE12"/>
    <mergeCell ref="N11:P11"/>
    <mergeCell ref="N12:P12"/>
    <mergeCell ref="N13:P13"/>
    <mergeCell ref="D15:G15"/>
    <mergeCell ref="A17:M17"/>
    <mergeCell ref="E19:F19"/>
    <mergeCell ref="A39:G39"/>
    <mergeCell ref="A47:G47"/>
    <mergeCell ref="A23:C23"/>
    <mergeCell ref="H22:M22"/>
    <mergeCell ref="H23:M25"/>
    <mergeCell ref="D36:E36"/>
    <mergeCell ref="C28:F28"/>
    <mergeCell ref="C29:F29"/>
    <mergeCell ref="G28:H36"/>
    <mergeCell ref="A27:H27"/>
    <mergeCell ref="D33:E33"/>
    <mergeCell ref="D34:E34"/>
    <mergeCell ref="D35:E35"/>
    <mergeCell ref="B40:F40"/>
    <mergeCell ref="G40:G46"/>
    <mergeCell ref="B41:C41"/>
    <mergeCell ref="D41:F41"/>
    <mergeCell ref="B42:C42"/>
    <mergeCell ref="B43:C43"/>
    <mergeCell ref="B44:C44"/>
    <mergeCell ref="B45:C45"/>
    <mergeCell ref="B46:C46"/>
  </mergeCells>
  <pageMargins left="0.7" right="0.7" top="0.75" bottom="0.75" header="0.3" footer="0.3"/>
  <drawing r:id="rId1"/>
  <legacyDrawing r:id="rId2"/>
  <oleObjects>
    <mc:AlternateContent xmlns:mc="http://schemas.openxmlformats.org/markup-compatibility/2006">
      <mc:Choice Requires="x14">
        <oleObject progId="Visio.Drawing.11" shapeId="4099" r:id="rId3">
          <objectPr defaultSize="0" autoPict="0" r:id="rId4">
            <anchor moveWithCells="1">
              <from>
                <xdr:col>18</xdr:col>
                <xdr:colOff>57150</xdr:colOff>
                <xdr:row>12</xdr:row>
                <xdr:rowOff>257175</xdr:rowOff>
              </from>
              <to>
                <xdr:col>30</xdr:col>
                <xdr:colOff>390525</xdr:colOff>
                <xdr:row>23</xdr:row>
                <xdr:rowOff>152400</xdr:rowOff>
              </to>
            </anchor>
          </objectPr>
        </oleObject>
      </mc:Choice>
      <mc:Fallback>
        <oleObject progId="Visio.Drawing.11" shapeId="4099" r:id="rId3"/>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2ADBF3-201A-44CF-99BE-1D398674FD4C}">
  <dimension ref="A1:N17"/>
  <sheetViews>
    <sheetView zoomScale="70" zoomScaleNormal="70" workbookViewId="0">
      <selection activeCell="E25" sqref="E25"/>
    </sheetView>
  </sheetViews>
  <sheetFormatPr defaultRowHeight="15" x14ac:dyDescent="0.25"/>
  <cols>
    <col min="1" max="1" width="6" customWidth="1"/>
    <col min="2" max="2" width="7.85546875" customWidth="1"/>
    <col min="3" max="3" width="42" customWidth="1"/>
    <col min="4" max="4" width="42.5703125" customWidth="1"/>
    <col min="5" max="5" width="42.28515625" customWidth="1"/>
    <col min="6" max="6" width="43.85546875" customWidth="1"/>
    <col min="7" max="7" width="8.5703125" customWidth="1"/>
    <col min="8" max="8" width="10.42578125" customWidth="1"/>
    <col min="9" max="9" width="11" customWidth="1"/>
    <col min="10" max="10" width="9.7109375" customWidth="1"/>
    <col min="11" max="11" width="11.140625" customWidth="1"/>
    <col min="12" max="13" width="9.7109375" customWidth="1"/>
    <col min="14" max="14" width="11.140625" customWidth="1"/>
    <col min="16" max="16" width="12" bestFit="1" customWidth="1"/>
  </cols>
  <sheetData>
    <row r="1" spans="1:14" ht="38.25" customHeight="1" x14ac:dyDescent="0.25">
      <c r="A1" s="278" t="s">
        <v>396</v>
      </c>
      <c r="B1" s="279"/>
      <c r="C1" s="279"/>
      <c r="D1" s="279"/>
      <c r="E1" s="279"/>
      <c r="F1" s="280"/>
      <c r="G1" s="213"/>
      <c r="H1" s="214"/>
      <c r="I1" s="214"/>
      <c r="J1" s="214"/>
      <c r="K1" s="214"/>
      <c r="L1" s="214"/>
      <c r="M1" s="214"/>
      <c r="N1" s="214"/>
    </row>
    <row r="2" spans="1:14" ht="21.75" customHeight="1" x14ac:dyDescent="0.25">
      <c r="A2" s="282" t="s">
        <v>393</v>
      </c>
      <c r="B2" s="283"/>
      <c r="C2" s="284"/>
      <c r="D2" s="75" t="s">
        <v>394</v>
      </c>
      <c r="E2" s="75">
        <f>16-1</f>
        <v>15</v>
      </c>
      <c r="F2" s="75"/>
      <c r="G2" s="213"/>
      <c r="H2" s="214"/>
      <c r="I2" s="214"/>
      <c r="J2" s="214"/>
      <c r="K2" s="214"/>
      <c r="L2" s="214"/>
      <c r="M2" s="214"/>
      <c r="N2" s="214"/>
    </row>
    <row r="3" spans="1:14" s="24" customFormat="1" ht="45" customHeight="1" x14ac:dyDescent="0.25">
      <c r="A3" s="10" t="s">
        <v>118</v>
      </c>
      <c r="B3" s="10" t="s">
        <v>384</v>
      </c>
      <c r="C3" s="10" t="s">
        <v>385</v>
      </c>
      <c r="D3" s="10" t="s">
        <v>386</v>
      </c>
      <c r="E3" s="10" t="s">
        <v>388</v>
      </c>
      <c r="F3" s="10" t="s">
        <v>389</v>
      </c>
      <c r="G3" s="10" t="s">
        <v>484</v>
      </c>
      <c r="H3" s="10" t="s">
        <v>485</v>
      </c>
      <c r="I3" s="10" t="s">
        <v>486</v>
      </c>
      <c r="J3" s="10" t="s">
        <v>479</v>
      </c>
      <c r="K3" s="10" t="s">
        <v>480</v>
      </c>
      <c r="L3" s="10" t="s">
        <v>487</v>
      </c>
      <c r="M3" s="10" t="s">
        <v>488</v>
      </c>
      <c r="N3" s="10" t="s">
        <v>481</v>
      </c>
    </row>
    <row r="4" spans="1:14" ht="32.25" customHeight="1" x14ac:dyDescent="0.25">
      <c r="A4" s="8">
        <v>1</v>
      </c>
      <c r="B4" s="8" t="s">
        <v>387</v>
      </c>
      <c r="C4" s="8" t="s">
        <v>192</v>
      </c>
      <c r="D4" s="8" t="s">
        <v>116</v>
      </c>
      <c r="E4" s="8" t="s">
        <v>117</v>
      </c>
      <c r="F4" s="8" t="s">
        <v>391</v>
      </c>
      <c r="G4" s="8" t="s">
        <v>115</v>
      </c>
      <c r="H4" s="8" t="s">
        <v>489</v>
      </c>
      <c r="I4" s="8" t="s">
        <v>482</v>
      </c>
      <c r="J4" s="8" t="s">
        <v>483</v>
      </c>
      <c r="K4" s="8" t="s">
        <v>116</v>
      </c>
      <c r="L4" s="8" t="s">
        <v>116</v>
      </c>
      <c r="M4" s="8" t="s">
        <v>116</v>
      </c>
      <c r="N4" s="8" t="s">
        <v>117</v>
      </c>
    </row>
    <row r="5" spans="1:14" ht="32.25" customHeight="1" x14ac:dyDescent="0.25">
      <c r="A5" s="8">
        <v>2</v>
      </c>
      <c r="B5" s="8">
        <v>250</v>
      </c>
      <c r="C5" s="8">
        <f>B5*SQRT(2)</f>
        <v>353.55339059327378</v>
      </c>
      <c r="D5" s="177">
        <v>5</v>
      </c>
      <c r="E5" s="8">
        <f>(C5-E2)/(D5*10^-6)/1000000</f>
        <v>67.710678118654755</v>
      </c>
      <c r="F5" s="8" t="s">
        <v>395</v>
      </c>
      <c r="G5" s="8">
        <v>15</v>
      </c>
      <c r="H5" s="8">
        <v>0.7</v>
      </c>
      <c r="I5" s="8">
        <f>G5/(H5*10^-6)</f>
        <v>21428571.428571429</v>
      </c>
      <c r="J5" s="8">
        <v>2.2000000000000002</v>
      </c>
      <c r="K5" s="8">
        <f>J5*I5/10^6</f>
        <v>47.142857142857146</v>
      </c>
      <c r="L5" s="8">
        <v>5</v>
      </c>
      <c r="M5" s="8">
        <f>K5+L5</f>
        <v>52.142857142857146</v>
      </c>
      <c r="N5" s="78">
        <f>(C6-E2)/M5</f>
        <v>3.7806143575116433</v>
      </c>
    </row>
    <row r="6" spans="1:14" ht="32.25" customHeight="1" x14ac:dyDescent="0.25">
      <c r="A6" s="8">
        <v>3</v>
      </c>
      <c r="B6" s="8">
        <v>150</v>
      </c>
      <c r="C6" s="8">
        <f>B6*SQRT(2)</f>
        <v>212.13203435596427</v>
      </c>
      <c r="D6" s="177"/>
      <c r="E6" s="8">
        <f>(C6-E2)/(D5*10^-6)/10^6</f>
        <v>39.42640687119286</v>
      </c>
      <c r="F6" s="8" t="s">
        <v>390</v>
      </c>
    </row>
    <row r="7" spans="1:14" ht="32.25" customHeight="1" x14ac:dyDescent="0.25">
      <c r="A7" s="46">
        <v>4</v>
      </c>
      <c r="B7" s="6">
        <v>300</v>
      </c>
      <c r="C7" s="8">
        <f>B7*SQRT(2)</f>
        <v>424.26406871192853</v>
      </c>
      <c r="D7" s="177"/>
      <c r="E7" s="8">
        <f>(C7-E2)/(D5*10^-6)/10^6</f>
        <v>81.85281374238572</v>
      </c>
      <c r="F7" s="10" t="s">
        <v>392</v>
      </c>
    </row>
    <row r="8" spans="1:14" ht="32.25" customHeight="1" x14ac:dyDescent="0.25">
      <c r="A8" s="278" t="s">
        <v>401</v>
      </c>
      <c r="B8" s="279"/>
      <c r="C8" s="279"/>
      <c r="D8" s="279"/>
      <c r="E8" s="279"/>
      <c r="F8" s="280"/>
    </row>
    <row r="9" spans="1:14" s="24" customFormat="1" ht="38.25" customHeight="1" x14ac:dyDescent="0.25">
      <c r="A9" s="285" t="s">
        <v>76</v>
      </c>
      <c r="B9" s="286"/>
      <c r="C9" s="15" t="s">
        <v>397</v>
      </c>
      <c r="D9" s="15" t="s">
        <v>398</v>
      </c>
      <c r="E9" s="15" t="s">
        <v>399</v>
      </c>
      <c r="F9" s="15" t="s">
        <v>400</v>
      </c>
      <c r="G9" s="44"/>
      <c r="H9" s="44"/>
      <c r="I9" s="44"/>
    </row>
    <row r="10" spans="1:14" ht="42.75" customHeight="1" x14ac:dyDescent="0.25">
      <c r="A10" s="281" t="s">
        <v>77</v>
      </c>
      <c r="B10" s="281"/>
      <c r="C10" s="15" t="s">
        <v>113</v>
      </c>
      <c r="D10" s="15" t="s">
        <v>112</v>
      </c>
      <c r="E10" s="15" t="s">
        <v>111</v>
      </c>
      <c r="F10" s="15" t="s">
        <v>114</v>
      </c>
      <c r="G10" s="44"/>
      <c r="H10" s="44"/>
      <c r="I10" s="44"/>
    </row>
    <row r="11" spans="1:14" ht="165" customHeight="1" x14ac:dyDescent="0.25">
      <c r="A11" s="281"/>
      <c r="B11" s="281"/>
      <c r="C11" s="16"/>
      <c r="D11" s="16"/>
      <c r="E11" s="16"/>
      <c r="F11" s="16"/>
      <c r="G11" s="45"/>
      <c r="H11" s="45"/>
      <c r="I11" s="45"/>
    </row>
    <row r="12" spans="1:14" x14ac:dyDescent="0.25">
      <c r="D12" s="22"/>
      <c r="E12" s="22"/>
    </row>
    <row r="13" spans="1:14" x14ac:dyDescent="0.25">
      <c r="D13" s="23"/>
    </row>
    <row r="14" spans="1:14" x14ac:dyDescent="0.25">
      <c r="C14" s="24"/>
    </row>
    <row r="17" ht="15.75" customHeight="1" x14ac:dyDescent="0.25"/>
  </sheetData>
  <mergeCells count="7">
    <mergeCell ref="G1:N2"/>
    <mergeCell ref="D5:D7"/>
    <mergeCell ref="A1:F1"/>
    <mergeCell ref="A8:F8"/>
    <mergeCell ref="A10:B11"/>
    <mergeCell ref="A2:C2"/>
    <mergeCell ref="A9:B9"/>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D9D5C6-B4BB-4A8B-9904-D8E35D7FDB04}">
  <dimension ref="A1:AG20"/>
  <sheetViews>
    <sheetView zoomScale="55" zoomScaleNormal="55" workbookViewId="0">
      <selection activeCell="P15" sqref="P15"/>
    </sheetView>
  </sheetViews>
  <sheetFormatPr defaultRowHeight="15" x14ac:dyDescent="0.25"/>
  <cols>
    <col min="1" max="1" width="6.85546875" style="48" customWidth="1"/>
    <col min="2" max="2" width="9.140625" style="48"/>
    <col min="3" max="4" width="7.5703125" style="48" customWidth="1"/>
    <col min="5" max="5" width="9.140625" style="48"/>
    <col min="6" max="6" width="10.42578125" style="47" customWidth="1"/>
    <col min="7" max="7" width="10.42578125" style="48" customWidth="1"/>
    <col min="8" max="12" width="9.140625" style="48" customWidth="1"/>
    <col min="13" max="16384" width="9.140625" style="48"/>
  </cols>
  <sheetData>
    <row r="1" spans="1:33" ht="44.25" customHeight="1" x14ac:dyDescent="0.25">
      <c r="A1" s="302" t="s">
        <v>584</v>
      </c>
      <c r="B1" s="302"/>
      <c r="C1" s="302"/>
      <c r="D1" s="302"/>
      <c r="E1" s="302"/>
      <c r="F1" s="302"/>
      <c r="G1" s="302"/>
      <c r="H1" s="302"/>
      <c r="I1" s="302"/>
      <c r="J1" s="302"/>
      <c r="K1" s="302"/>
      <c r="L1" s="302"/>
    </row>
    <row r="2" spans="1:33" ht="42.75" customHeight="1" x14ac:dyDescent="0.25">
      <c r="A2" s="49" t="s">
        <v>118</v>
      </c>
      <c r="B2" s="121"/>
      <c r="C2" s="309" t="s">
        <v>383</v>
      </c>
      <c r="D2" s="310"/>
      <c r="E2" s="122"/>
      <c r="F2" s="309" t="s">
        <v>262</v>
      </c>
      <c r="G2" s="310"/>
      <c r="H2" s="51"/>
      <c r="I2" s="51"/>
      <c r="J2" s="51"/>
      <c r="K2" s="51"/>
      <c r="L2" s="51"/>
      <c r="N2"/>
      <c r="O2"/>
      <c r="P2"/>
      <c r="Q2"/>
      <c r="R2"/>
      <c r="S2" s="195" t="s">
        <v>754</v>
      </c>
      <c r="T2" s="195"/>
      <c r="U2" s="195"/>
      <c r="V2" s="288" t="s">
        <v>763</v>
      </c>
      <c r="W2" s="289"/>
      <c r="X2" s="289"/>
      <c r="Y2" s="289"/>
      <c r="Z2" s="289"/>
      <c r="AA2" s="290"/>
      <c r="AB2" s="288" t="s">
        <v>764</v>
      </c>
      <c r="AC2" s="289"/>
      <c r="AD2" s="289"/>
      <c r="AE2" s="289"/>
      <c r="AF2" s="289"/>
      <c r="AG2" s="290"/>
    </row>
    <row r="3" spans="1:33" ht="42" customHeight="1" x14ac:dyDescent="0.25">
      <c r="A3" s="49">
        <v>1</v>
      </c>
      <c r="B3" s="219" t="s">
        <v>586</v>
      </c>
      <c r="C3" s="219"/>
      <c r="D3" s="219"/>
      <c r="E3" s="49" t="s">
        <v>331</v>
      </c>
      <c r="F3" s="57">
        <f>700*0.9</f>
        <v>630</v>
      </c>
      <c r="G3" s="49" t="s">
        <v>115</v>
      </c>
      <c r="H3" s="295"/>
      <c r="I3" s="296"/>
      <c r="J3" s="296"/>
      <c r="K3" s="296"/>
      <c r="L3" s="297"/>
      <c r="N3"/>
      <c r="O3"/>
      <c r="P3"/>
      <c r="Q3"/>
      <c r="R3"/>
      <c r="S3" s="195" t="s">
        <v>118</v>
      </c>
      <c r="T3" s="291" t="s">
        <v>76</v>
      </c>
      <c r="U3" s="292"/>
      <c r="V3" s="287" t="s">
        <v>755</v>
      </c>
      <c r="W3" s="287"/>
      <c r="X3" s="287"/>
      <c r="Y3" s="287" t="s">
        <v>756</v>
      </c>
      <c r="Z3" s="287"/>
      <c r="AA3" s="287"/>
      <c r="AB3" s="287" t="s">
        <v>755</v>
      </c>
      <c r="AC3" s="287"/>
      <c r="AD3" s="287"/>
      <c r="AE3" s="287" t="s">
        <v>756</v>
      </c>
      <c r="AF3" s="287"/>
      <c r="AG3" s="287"/>
    </row>
    <row r="4" spans="1:33" ht="43.5" customHeight="1" x14ac:dyDescent="0.25">
      <c r="A4" s="49">
        <v>2</v>
      </c>
      <c r="B4" s="219" t="s">
        <v>332</v>
      </c>
      <c r="C4" s="219"/>
      <c r="D4" s="219"/>
      <c r="E4" s="49" t="s">
        <v>333</v>
      </c>
      <c r="F4" s="60">
        <f>0.4*F3</f>
        <v>252</v>
      </c>
      <c r="G4" s="49" t="s">
        <v>115</v>
      </c>
      <c r="H4" s="295"/>
      <c r="I4" s="296"/>
      <c r="J4" s="296"/>
      <c r="K4" s="296"/>
      <c r="L4" s="297"/>
      <c r="N4"/>
      <c r="O4"/>
      <c r="P4"/>
      <c r="Q4"/>
      <c r="R4"/>
      <c r="S4" s="195"/>
      <c r="T4" s="293"/>
      <c r="U4" s="294"/>
      <c r="V4" s="287"/>
      <c r="W4" s="287"/>
      <c r="X4" s="287"/>
      <c r="Y4" s="287"/>
      <c r="Z4" s="287"/>
      <c r="AA4" s="287"/>
      <c r="AB4" s="287"/>
      <c r="AC4" s="287"/>
      <c r="AD4" s="287"/>
      <c r="AE4" s="287"/>
      <c r="AF4" s="287"/>
      <c r="AG4" s="287"/>
    </row>
    <row r="5" spans="1:33" ht="49.5" customHeight="1" x14ac:dyDescent="0.25">
      <c r="A5" s="49">
        <v>3</v>
      </c>
      <c r="B5" s="219" t="s">
        <v>334</v>
      </c>
      <c r="C5" s="219"/>
      <c r="D5" s="219"/>
      <c r="E5" s="49" t="s">
        <v>351</v>
      </c>
      <c r="F5" s="60">
        <f>('Biến áp + Diode'!U5+'Lựa chọn linh kiện'!E30)*'Biến áp + Diode'!L11/'Biến áp + Diode'!L12</f>
        <v>49.016483516483504</v>
      </c>
      <c r="G5" s="49" t="s">
        <v>115</v>
      </c>
      <c r="H5" s="295"/>
      <c r="I5" s="296"/>
      <c r="J5" s="296"/>
      <c r="K5" s="296"/>
      <c r="L5" s="297"/>
      <c r="N5"/>
      <c r="O5"/>
      <c r="P5"/>
      <c r="Q5"/>
      <c r="R5"/>
      <c r="S5" s="195"/>
      <c r="T5" s="10" t="s">
        <v>73</v>
      </c>
      <c r="U5" s="10" t="s">
        <v>384</v>
      </c>
      <c r="V5" s="173" t="s">
        <v>757</v>
      </c>
      <c r="W5" s="10" t="s">
        <v>758</v>
      </c>
      <c r="X5" s="10" t="s">
        <v>759</v>
      </c>
      <c r="Y5" s="173" t="s">
        <v>760</v>
      </c>
      <c r="Z5" s="10" t="s">
        <v>759</v>
      </c>
      <c r="AA5" s="10" t="s">
        <v>758</v>
      </c>
      <c r="AB5" s="173" t="s">
        <v>757</v>
      </c>
      <c r="AC5" s="10" t="s">
        <v>759</v>
      </c>
      <c r="AD5" s="10" t="s">
        <v>758</v>
      </c>
      <c r="AE5" s="173" t="s">
        <v>760</v>
      </c>
      <c r="AF5" s="10" t="s">
        <v>758</v>
      </c>
      <c r="AG5" s="10" t="s">
        <v>759</v>
      </c>
    </row>
    <row r="6" spans="1:33" ht="49.5" customHeight="1" x14ac:dyDescent="0.25">
      <c r="A6" s="49">
        <v>4</v>
      </c>
      <c r="B6" s="219" t="s">
        <v>335</v>
      </c>
      <c r="C6" s="219"/>
      <c r="D6" s="219"/>
      <c r="E6" s="49" t="s">
        <v>336</v>
      </c>
      <c r="F6" s="60">
        <f>F5+F4</f>
        <v>301.0164835164835</v>
      </c>
      <c r="G6" s="49" t="s">
        <v>115</v>
      </c>
      <c r="H6" s="295"/>
      <c r="I6" s="296"/>
      <c r="J6" s="296"/>
      <c r="K6" s="296"/>
      <c r="L6" s="297"/>
      <c r="N6"/>
      <c r="O6"/>
      <c r="P6"/>
      <c r="Q6"/>
      <c r="R6"/>
      <c r="S6" s="10">
        <v>1</v>
      </c>
      <c r="T6" s="195" t="s">
        <v>761</v>
      </c>
      <c r="U6" s="10">
        <v>300</v>
      </c>
      <c r="V6" s="173">
        <v>109</v>
      </c>
      <c r="W6" s="10">
        <v>104.8</v>
      </c>
      <c r="X6" s="10">
        <v>105</v>
      </c>
      <c r="Y6" s="173">
        <v>103.2</v>
      </c>
      <c r="Z6" s="10">
        <v>103.5</v>
      </c>
      <c r="AA6" s="10">
        <v>107.5</v>
      </c>
      <c r="AB6" s="173">
        <v>98</v>
      </c>
      <c r="AC6" s="10">
        <v>95</v>
      </c>
      <c r="AD6" s="10">
        <v>95.7</v>
      </c>
      <c r="AE6" s="173">
        <v>96</v>
      </c>
      <c r="AF6" s="10">
        <v>95.9</v>
      </c>
      <c r="AG6" s="10">
        <v>97.9</v>
      </c>
    </row>
    <row r="7" spans="1:33" ht="60" customHeight="1" x14ac:dyDescent="0.25">
      <c r="A7" s="49">
        <v>5</v>
      </c>
      <c r="B7" s="300" t="s">
        <v>337</v>
      </c>
      <c r="C7" s="300"/>
      <c r="D7" s="300"/>
      <c r="E7" s="49" t="s">
        <v>338</v>
      </c>
      <c r="F7" s="57">
        <v>50</v>
      </c>
      <c r="G7" s="49" t="s">
        <v>161</v>
      </c>
      <c r="H7" s="303" t="s">
        <v>382</v>
      </c>
      <c r="I7" s="304"/>
      <c r="J7" s="304"/>
      <c r="K7" s="304"/>
      <c r="L7" s="305"/>
      <c r="N7"/>
      <c r="O7"/>
      <c r="P7"/>
      <c r="Q7"/>
      <c r="R7"/>
      <c r="S7" s="10">
        <v>2</v>
      </c>
      <c r="T7" s="195"/>
      <c r="U7" s="10">
        <v>265</v>
      </c>
      <c r="V7" s="173">
        <v>107.4</v>
      </c>
      <c r="W7" s="10">
        <v>103.6</v>
      </c>
      <c r="X7" s="10">
        <v>103.6</v>
      </c>
      <c r="Y7" s="173">
        <v>101.4</v>
      </c>
      <c r="Z7" s="10">
        <v>102.1</v>
      </c>
      <c r="AA7" s="10">
        <v>106.2</v>
      </c>
      <c r="AB7" s="173">
        <v>97.3</v>
      </c>
      <c r="AC7" s="10">
        <v>94.9</v>
      </c>
      <c r="AD7" s="10">
        <v>95.2</v>
      </c>
      <c r="AE7" s="173">
        <v>93.9</v>
      </c>
      <c r="AF7" s="10">
        <v>94.6</v>
      </c>
      <c r="AG7" s="10">
        <v>96.8</v>
      </c>
    </row>
    <row r="8" spans="1:33" ht="35.25" customHeight="1" x14ac:dyDescent="0.25">
      <c r="A8" s="49">
        <v>6</v>
      </c>
      <c r="B8" s="300" t="s">
        <v>587</v>
      </c>
      <c r="C8" s="300"/>
      <c r="D8" s="300"/>
      <c r="E8" s="49" t="s">
        <v>325</v>
      </c>
      <c r="F8" s="57">
        <v>80</v>
      </c>
      <c r="G8" s="49" t="s">
        <v>340</v>
      </c>
      <c r="H8" s="306" t="s">
        <v>585</v>
      </c>
      <c r="I8" s="307"/>
      <c r="J8" s="307"/>
      <c r="K8" s="307"/>
      <c r="L8" s="308"/>
      <c r="N8"/>
      <c r="O8"/>
      <c r="P8"/>
      <c r="Q8"/>
      <c r="R8"/>
      <c r="S8" s="10">
        <v>3</v>
      </c>
      <c r="T8" s="195"/>
      <c r="U8" s="10">
        <v>220</v>
      </c>
      <c r="V8" s="173">
        <v>106.7</v>
      </c>
      <c r="W8" s="10">
        <v>103.3</v>
      </c>
      <c r="X8" s="10">
        <v>103.1</v>
      </c>
      <c r="Y8" s="173">
        <v>99.8</v>
      </c>
      <c r="Z8" s="10">
        <v>100.9</v>
      </c>
      <c r="AA8" s="10">
        <v>104.9</v>
      </c>
      <c r="AB8" s="173">
        <v>96.4</v>
      </c>
      <c r="AC8" s="10">
        <v>94.2</v>
      </c>
      <c r="AD8" s="10">
        <v>94.4</v>
      </c>
      <c r="AE8" s="173">
        <v>93.3</v>
      </c>
      <c r="AF8" s="10">
        <v>93.9</v>
      </c>
      <c r="AG8" s="10">
        <v>96</v>
      </c>
    </row>
    <row r="9" spans="1:33" ht="60" customHeight="1" x14ac:dyDescent="0.25">
      <c r="A9" s="49">
        <v>7</v>
      </c>
      <c r="B9" s="300" t="s">
        <v>339</v>
      </c>
      <c r="C9" s="300"/>
      <c r="D9" s="300"/>
      <c r="E9" s="49" t="s">
        <v>327</v>
      </c>
      <c r="F9" s="60">
        <f>0.5*80*10^(-6)*'Biến áp + Diode'!L8^(2)*F6*'Biến áp + Diode'!U8*10^(3)/(Snubber!F6-110*(5+0.85)/13)</f>
        <v>0.29920154666200621</v>
      </c>
      <c r="G9" s="49" t="s">
        <v>213</v>
      </c>
      <c r="H9" s="295"/>
      <c r="I9" s="296"/>
      <c r="J9" s="296"/>
      <c r="K9" s="296"/>
      <c r="L9" s="297"/>
      <c r="N9"/>
      <c r="O9"/>
      <c r="P9"/>
      <c r="Q9"/>
      <c r="R9"/>
      <c r="S9" s="10">
        <v>4</v>
      </c>
      <c r="T9" s="195"/>
      <c r="U9" s="10">
        <v>150</v>
      </c>
      <c r="V9" s="173">
        <v>107</v>
      </c>
      <c r="W9" s="10">
        <v>104</v>
      </c>
      <c r="X9" s="10">
        <v>103.6</v>
      </c>
      <c r="Y9" s="173">
        <v>99.4</v>
      </c>
      <c r="Z9" s="10">
        <v>100.8</v>
      </c>
      <c r="AA9" s="10">
        <v>104.5</v>
      </c>
      <c r="AB9" s="173">
        <v>96.3</v>
      </c>
      <c r="AC9" s="10">
        <v>94.5</v>
      </c>
      <c r="AD9" s="10">
        <v>94.6</v>
      </c>
      <c r="AE9" s="173">
        <v>92.7</v>
      </c>
      <c r="AF9" s="10">
        <v>93.5</v>
      </c>
      <c r="AG9" s="10">
        <v>95.6</v>
      </c>
    </row>
    <row r="10" spans="1:33" ht="60" customHeight="1" x14ac:dyDescent="0.25">
      <c r="A10" s="49">
        <v>8</v>
      </c>
      <c r="B10" s="300" t="s">
        <v>341</v>
      </c>
      <c r="C10" s="300"/>
      <c r="D10" s="300"/>
      <c r="E10" s="49" t="s">
        <v>326</v>
      </c>
      <c r="F10" s="60">
        <f>(F6^(2)/F9)/1000</f>
        <v>302.84242965825388</v>
      </c>
      <c r="G10" s="49" t="s">
        <v>345</v>
      </c>
      <c r="H10" s="295"/>
      <c r="I10" s="296"/>
      <c r="J10" s="296"/>
      <c r="K10" s="296"/>
      <c r="L10" s="297"/>
      <c r="N10"/>
      <c r="O10"/>
      <c r="P10"/>
      <c r="Q10"/>
      <c r="R10"/>
      <c r="S10" s="10">
        <v>5</v>
      </c>
      <c r="T10" s="195" t="s">
        <v>762</v>
      </c>
      <c r="U10" s="10">
        <v>300</v>
      </c>
      <c r="V10" s="173">
        <v>83</v>
      </c>
      <c r="W10" s="10">
        <v>81.400000000000006</v>
      </c>
      <c r="X10" s="10">
        <v>83.1</v>
      </c>
      <c r="Y10" s="173">
        <v>81.2</v>
      </c>
      <c r="Z10" s="10">
        <v>78.099999999999994</v>
      </c>
      <c r="AA10" s="10">
        <v>81.900000000000006</v>
      </c>
      <c r="AB10" s="173">
        <v>72.400000000000006</v>
      </c>
      <c r="AC10" s="10">
        <v>71.400000000000006</v>
      </c>
      <c r="AD10" s="10">
        <v>72.099999999999994</v>
      </c>
      <c r="AE10" s="173">
        <v>70.7</v>
      </c>
      <c r="AF10" s="10">
        <v>68.8</v>
      </c>
      <c r="AG10" s="10">
        <v>70.8</v>
      </c>
    </row>
    <row r="11" spans="1:33" ht="60.75" customHeight="1" x14ac:dyDescent="0.25">
      <c r="A11" s="49">
        <v>9</v>
      </c>
      <c r="B11" s="300" t="s">
        <v>342</v>
      </c>
      <c r="C11" s="300"/>
      <c r="D11" s="300"/>
      <c r="E11" s="49" t="s">
        <v>343</v>
      </c>
      <c r="F11" s="60">
        <f>F6/(F6*(F7/100)*F10*'Biến áp + Diode'!U8*1000/100)*10000000</f>
        <v>123.10924286367114</v>
      </c>
      <c r="G11" s="49" t="s">
        <v>344</v>
      </c>
      <c r="H11" s="295"/>
      <c r="I11" s="296"/>
      <c r="J11" s="296"/>
      <c r="K11" s="296"/>
      <c r="L11" s="297"/>
      <c r="N11"/>
      <c r="O11"/>
      <c r="P11"/>
      <c r="Q11"/>
      <c r="R11"/>
      <c r="S11" s="10">
        <v>6</v>
      </c>
      <c r="T11" s="195"/>
      <c r="U11" s="10">
        <v>265</v>
      </c>
      <c r="V11" s="173">
        <v>82.1</v>
      </c>
      <c r="W11" s="10">
        <v>80.599999999999994</v>
      </c>
      <c r="X11" s="10">
        <v>82.5</v>
      </c>
      <c r="Y11" s="173">
        <v>80.099999999999994</v>
      </c>
      <c r="Z11" s="10">
        <v>77.3</v>
      </c>
      <c r="AA11" s="10">
        <v>81.099999999999994</v>
      </c>
      <c r="AB11" s="173">
        <v>71.5</v>
      </c>
      <c r="AC11" s="10">
        <v>70.599999999999994</v>
      </c>
      <c r="AD11" s="10">
        <v>71.5</v>
      </c>
      <c r="AE11" s="173">
        <v>69.900000000000006</v>
      </c>
      <c r="AF11" s="10">
        <v>68.099999999999994</v>
      </c>
      <c r="AG11" s="10">
        <v>70.2</v>
      </c>
    </row>
    <row r="12" spans="1:33" ht="27.75" customHeight="1" x14ac:dyDescent="0.25">
      <c r="A12" s="49">
        <v>10</v>
      </c>
      <c r="B12" s="221" t="s">
        <v>353</v>
      </c>
      <c r="C12" s="221"/>
      <c r="D12" s="221"/>
      <c r="E12" s="221"/>
      <c r="F12" s="221"/>
      <c r="G12" s="221"/>
      <c r="H12" s="295"/>
      <c r="I12" s="296"/>
      <c r="J12" s="296"/>
      <c r="K12" s="296"/>
      <c r="L12" s="297"/>
      <c r="N12"/>
      <c r="O12"/>
      <c r="P12"/>
      <c r="Q12"/>
      <c r="R12"/>
      <c r="S12" s="10">
        <v>7</v>
      </c>
      <c r="T12" s="195"/>
      <c r="U12" s="10">
        <v>220</v>
      </c>
      <c r="V12" s="173">
        <v>80.599999999999994</v>
      </c>
      <c r="W12" s="10">
        <v>79.400000000000006</v>
      </c>
      <c r="X12" s="10">
        <v>81.3</v>
      </c>
      <c r="Y12" s="173">
        <v>79.099999999999994</v>
      </c>
      <c r="Z12" s="10">
        <v>76.5</v>
      </c>
      <c r="AA12" s="10">
        <v>80.3</v>
      </c>
      <c r="AB12" s="173">
        <v>71.099999999999994</v>
      </c>
      <c r="AC12" s="10">
        <v>70.3</v>
      </c>
      <c r="AD12" s="10">
        <v>71.3</v>
      </c>
      <c r="AE12" s="173">
        <v>69</v>
      </c>
      <c r="AF12" s="10">
        <v>67.3</v>
      </c>
      <c r="AG12" s="10">
        <v>69.400000000000006</v>
      </c>
    </row>
    <row r="13" spans="1:33" ht="25.5" customHeight="1" x14ac:dyDescent="0.25">
      <c r="A13" s="49">
        <v>11</v>
      </c>
      <c r="B13" s="300" t="s">
        <v>346</v>
      </c>
      <c r="C13" s="300"/>
      <c r="D13" s="300"/>
      <c r="E13" s="49" t="s">
        <v>347</v>
      </c>
      <c r="F13" s="57">
        <v>180</v>
      </c>
      <c r="G13" s="49" t="s">
        <v>348</v>
      </c>
      <c r="H13" s="295"/>
      <c r="I13" s="296"/>
      <c r="J13" s="296"/>
      <c r="K13" s="296"/>
      <c r="L13" s="297"/>
      <c r="N13"/>
      <c r="O13"/>
      <c r="P13"/>
      <c r="Q13"/>
      <c r="R13"/>
      <c r="S13" s="10">
        <v>8</v>
      </c>
      <c r="T13" s="195"/>
      <c r="U13" s="10">
        <v>150</v>
      </c>
      <c r="V13" s="173">
        <v>80.2</v>
      </c>
      <c r="W13" s="10">
        <v>79.400000000000006</v>
      </c>
      <c r="X13" s="10">
        <v>81</v>
      </c>
      <c r="Y13" s="173">
        <v>78.900000000000006</v>
      </c>
      <c r="Z13" s="10">
        <v>76.7</v>
      </c>
      <c r="AA13" s="10">
        <v>79.900000000000006</v>
      </c>
      <c r="AB13" s="173">
        <v>71.3</v>
      </c>
      <c r="AC13" s="10">
        <v>70.8</v>
      </c>
      <c r="AD13" s="10">
        <v>71.8</v>
      </c>
      <c r="AE13" s="173">
        <v>68.599999999999994</v>
      </c>
      <c r="AF13" s="10">
        <v>67.099999999999994</v>
      </c>
      <c r="AG13" s="10">
        <v>69.2</v>
      </c>
    </row>
    <row r="14" spans="1:33" ht="35.25" customHeight="1" x14ac:dyDescent="0.25">
      <c r="A14" s="49">
        <v>12</v>
      </c>
      <c r="B14" s="300" t="s">
        <v>349</v>
      </c>
      <c r="C14" s="300"/>
      <c r="D14" s="300"/>
      <c r="E14" s="49" t="s">
        <v>343</v>
      </c>
      <c r="F14" s="60">
        <f>F11</f>
        <v>123.10924286367114</v>
      </c>
      <c r="G14" s="49" t="s">
        <v>344</v>
      </c>
      <c r="H14" s="295"/>
      <c r="I14" s="296"/>
      <c r="J14" s="296"/>
      <c r="K14" s="296"/>
      <c r="L14" s="297"/>
      <c r="N14"/>
      <c r="O14"/>
      <c r="P14"/>
      <c r="Q14"/>
      <c r="R14"/>
      <c r="S14"/>
      <c r="T14"/>
      <c r="U14"/>
    </row>
    <row r="15" spans="1:33" ht="33" customHeight="1" x14ac:dyDescent="0.25">
      <c r="A15" s="49">
        <v>13</v>
      </c>
      <c r="B15" s="219" t="s">
        <v>350</v>
      </c>
      <c r="C15" s="219"/>
      <c r="D15" s="219"/>
      <c r="E15" s="49" t="s">
        <v>327</v>
      </c>
      <c r="F15" s="60">
        <f>F6*F6/(F13*1000)</f>
        <v>0.50339401860349653</v>
      </c>
      <c r="G15" s="49" t="s">
        <v>213</v>
      </c>
      <c r="H15" s="295"/>
      <c r="I15" s="296"/>
      <c r="J15" s="296"/>
      <c r="K15" s="296"/>
      <c r="L15" s="297"/>
      <c r="N15"/>
      <c r="O15"/>
      <c r="P15"/>
      <c r="Q15"/>
      <c r="R15"/>
      <c r="S15"/>
      <c r="T15"/>
      <c r="U15"/>
    </row>
    <row r="16" spans="1:33" customFormat="1" x14ac:dyDescent="0.25">
      <c r="F16" s="6"/>
    </row>
    <row r="17" spans="2:8" customFormat="1" x14ac:dyDescent="0.25">
      <c r="F17" s="6"/>
    </row>
    <row r="18" spans="2:8" ht="48.75" customHeight="1" x14ac:dyDescent="0.25">
      <c r="B18" s="301" t="s">
        <v>753</v>
      </c>
      <c r="C18" s="299"/>
      <c r="D18" s="299"/>
      <c r="E18" s="299"/>
      <c r="F18" s="299"/>
      <c r="G18" s="299"/>
      <c r="H18" s="299"/>
    </row>
    <row r="19" spans="2:8" ht="18.75" x14ac:dyDescent="0.25">
      <c r="B19" s="298" t="s">
        <v>627</v>
      </c>
      <c r="C19" s="298"/>
      <c r="D19" s="298"/>
      <c r="E19" s="298"/>
      <c r="F19" s="298"/>
    </row>
    <row r="20" spans="2:8" ht="18.75" x14ac:dyDescent="0.25">
      <c r="B20" s="299" t="s">
        <v>628</v>
      </c>
      <c r="C20" s="299"/>
      <c r="D20" s="299"/>
      <c r="E20" s="299"/>
      <c r="F20" s="299"/>
    </row>
  </sheetData>
  <mergeCells count="43">
    <mergeCell ref="A1:L1"/>
    <mergeCell ref="H11:L11"/>
    <mergeCell ref="H3:L3"/>
    <mergeCell ref="H4:L4"/>
    <mergeCell ref="H5:L5"/>
    <mergeCell ref="H6:L6"/>
    <mergeCell ref="H7:L7"/>
    <mergeCell ref="H8:L8"/>
    <mergeCell ref="H9:L9"/>
    <mergeCell ref="H10:L10"/>
    <mergeCell ref="C2:D2"/>
    <mergeCell ref="F2:G2"/>
    <mergeCell ref="B3:D3"/>
    <mergeCell ref="B4:D4"/>
    <mergeCell ref="B20:F20"/>
    <mergeCell ref="B7:D7"/>
    <mergeCell ref="B8:D8"/>
    <mergeCell ref="B9:D9"/>
    <mergeCell ref="B10:D10"/>
    <mergeCell ref="B12:G12"/>
    <mergeCell ref="B11:D11"/>
    <mergeCell ref="B13:D13"/>
    <mergeCell ref="B14:D14"/>
    <mergeCell ref="B15:D15"/>
    <mergeCell ref="B18:H18"/>
    <mergeCell ref="H12:L12"/>
    <mergeCell ref="H13:L13"/>
    <mergeCell ref="H14:L14"/>
    <mergeCell ref="H15:L15"/>
    <mergeCell ref="B5:D5"/>
    <mergeCell ref="B6:D6"/>
    <mergeCell ref="B19:F19"/>
    <mergeCell ref="T10:T13"/>
    <mergeCell ref="Y3:AA4"/>
    <mergeCell ref="AE3:AG4"/>
    <mergeCell ref="S2:U2"/>
    <mergeCell ref="V2:AA2"/>
    <mergeCell ref="AB2:AG2"/>
    <mergeCell ref="S3:S5"/>
    <mergeCell ref="T3:U4"/>
    <mergeCell ref="V3:X4"/>
    <mergeCell ref="AB3:AD4"/>
    <mergeCell ref="T6:T9"/>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F2E46A-CC61-43D0-8A4E-612834428A21}">
  <dimension ref="A1:N40"/>
  <sheetViews>
    <sheetView topLeftCell="A6" zoomScale="55" zoomScaleNormal="55" workbookViewId="0">
      <selection activeCell="D16" sqref="D16"/>
    </sheetView>
  </sheetViews>
  <sheetFormatPr defaultRowHeight="15" x14ac:dyDescent="0.25"/>
  <cols>
    <col min="1" max="1" width="9.140625" style="159" customWidth="1"/>
    <col min="2" max="2" width="52.7109375" style="160" bestFit="1" customWidth="1"/>
    <col min="3" max="3" width="19.140625" style="163" customWidth="1"/>
    <col min="4" max="4" width="25.85546875" style="162" customWidth="1"/>
    <col min="5" max="5" width="32.5703125" style="149" customWidth="1"/>
    <col min="6" max="6" width="14.42578125" style="149" customWidth="1"/>
    <col min="7" max="16384" width="9.140625" style="149"/>
  </cols>
  <sheetData>
    <row r="1" spans="1:6" ht="60.75" customHeight="1" x14ac:dyDescent="0.25">
      <c r="A1" s="311"/>
      <c r="B1" s="312"/>
      <c r="C1" s="313" t="s">
        <v>710</v>
      </c>
      <c r="D1" s="313"/>
      <c r="E1" s="313"/>
      <c r="F1" s="314"/>
    </row>
    <row r="2" spans="1:6" ht="25.5" customHeight="1" x14ac:dyDescent="0.25">
      <c r="A2" s="315" t="s">
        <v>681</v>
      </c>
      <c r="B2" s="315"/>
      <c r="C2" s="150" t="s">
        <v>682</v>
      </c>
      <c r="D2" s="161"/>
      <c r="E2" s="316" t="s">
        <v>683</v>
      </c>
      <c r="F2" s="316"/>
    </row>
    <row r="3" spans="1:6" ht="25.5" customHeight="1" x14ac:dyDescent="0.25">
      <c r="A3" s="315" t="s">
        <v>711</v>
      </c>
      <c r="B3" s="315"/>
      <c r="C3" s="150" t="s">
        <v>684</v>
      </c>
      <c r="D3" s="161"/>
      <c r="E3" s="317"/>
      <c r="F3" s="317"/>
    </row>
    <row r="4" spans="1:6" ht="25.5" x14ac:dyDescent="0.25">
      <c r="A4" s="150" t="s">
        <v>118</v>
      </c>
      <c r="B4" s="151" t="s">
        <v>685</v>
      </c>
      <c r="C4" s="152" t="s">
        <v>686</v>
      </c>
      <c r="D4" s="153" t="s">
        <v>687</v>
      </c>
      <c r="E4" s="153" t="s">
        <v>688</v>
      </c>
      <c r="F4" s="154" t="s">
        <v>689</v>
      </c>
    </row>
    <row r="5" spans="1:6" ht="66" customHeight="1" x14ac:dyDescent="0.25">
      <c r="A5" s="154">
        <v>1</v>
      </c>
      <c r="B5" s="155" t="s">
        <v>690</v>
      </c>
      <c r="C5" s="154" t="s">
        <v>629</v>
      </c>
      <c r="D5" s="155"/>
      <c r="E5" s="155"/>
      <c r="F5" s="156"/>
    </row>
    <row r="6" spans="1:6" ht="40.5" customHeight="1" x14ac:dyDescent="0.25">
      <c r="A6" s="154">
        <v>2</v>
      </c>
      <c r="B6" s="155" t="s">
        <v>691</v>
      </c>
      <c r="C6" s="154" t="s">
        <v>629</v>
      </c>
      <c r="D6" s="155"/>
      <c r="E6" s="155"/>
      <c r="F6" s="156"/>
    </row>
    <row r="7" spans="1:6" ht="49.5" customHeight="1" x14ac:dyDescent="0.25">
      <c r="A7" s="154">
        <v>3</v>
      </c>
      <c r="B7" s="155" t="s">
        <v>692</v>
      </c>
      <c r="C7" s="154" t="s">
        <v>629</v>
      </c>
      <c r="D7" s="155"/>
      <c r="E7" s="155"/>
      <c r="F7" s="156"/>
    </row>
    <row r="8" spans="1:6" ht="27" customHeight="1" x14ac:dyDescent="0.25">
      <c r="A8" s="154">
        <v>4</v>
      </c>
      <c r="B8" s="155" t="s">
        <v>693</v>
      </c>
      <c r="C8" s="154" t="s">
        <v>629</v>
      </c>
      <c r="D8" s="155"/>
      <c r="E8" s="155"/>
      <c r="F8" s="156"/>
    </row>
    <row r="9" spans="1:6" ht="36" customHeight="1" x14ac:dyDescent="0.25">
      <c r="A9" s="154">
        <v>5</v>
      </c>
      <c r="B9" s="155" t="s">
        <v>694</v>
      </c>
      <c r="C9" s="154" t="s">
        <v>629</v>
      </c>
      <c r="D9" s="155"/>
      <c r="E9" s="155"/>
      <c r="F9" s="156"/>
    </row>
    <row r="10" spans="1:6" ht="36.75" customHeight="1" x14ac:dyDescent="0.25">
      <c r="A10" s="154">
        <v>6</v>
      </c>
      <c r="B10" s="155" t="s">
        <v>695</v>
      </c>
      <c r="C10" s="154"/>
      <c r="D10" s="155"/>
      <c r="E10" s="155"/>
      <c r="F10" s="156"/>
    </row>
    <row r="11" spans="1:6" ht="48.75" customHeight="1" x14ac:dyDescent="0.25">
      <c r="A11" s="154">
        <v>7</v>
      </c>
      <c r="B11" s="155" t="s">
        <v>730</v>
      </c>
      <c r="C11" s="154" t="s">
        <v>629</v>
      </c>
      <c r="D11" s="155"/>
      <c r="E11" s="164" t="s">
        <v>717</v>
      </c>
      <c r="F11" s="156"/>
    </row>
    <row r="12" spans="1:6" ht="106.5" customHeight="1" x14ac:dyDescent="0.25">
      <c r="A12" s="154">
        <v>8</v>
      </c>
      <c r="B12" s="155" t="s">
        <v>696</v>
      </c>
      <c r="C12" s="154" t="s">
        <v>715</v>
      </c>
      <c r="D12" s="155" t="s">
        <v>765</v>
      </c>
      <c r="E12" s="164" t="s">
        <v>718</v>
      </c>
      <c r="F12" s="156"/>
    </row>
    <row r="13" spans="1:6" ht="39" customHeight="1" x14ac:dyDescent="0.25">
      <c r="A13" s="154">
        <v>9</v>
      </c>
      <c r="B13" s="155" t="s">
        <v>697</v>
      </c>
      <c r="C13" s="154" t="s">
        <v>629</v>
      </c>
      <c r="D13" s="155"/>
      <c r="E13" s="155"/>
      <c r="F13" s="156"/>
    </row>
    <row r="14" spans="1:6" ht="44.25" customHeight="1" x14ac:dyDescent="0.25">
      <c r="A14" s="154">
        <v>10</v>
      </c>
      <c r="B14" s="155" t="s">
        <v>698</v>
      </c>
      <c r="C14" s="154" t="s">
        <v>629</v>
      </c>
      <c r="D14" s="155"/>
      <c r="E14" s="155"/>
      <c r="F14" s="156"/>
    </row>
    <row r="15" spans="1:6" ht="54" customHeight="1" x14ac:dyDescent="0.25">
      <c r="A15" s="154">
        <v>11</v>
      </c>
      <c r="B15" s="155" t="s">
        <v>699</v>
      </c>
      <c r="C15" s="154" t="s">
        <v>629</v>
      </c>
      <c r="D15" s="155"/>
      <c r="E15" s="155"/>
      <c r="F15" s="156"/>
    </row>
    <row r="16" spans="1:6" ht="52.5" customHeight="1" x14ac:dyDescent="0.25">
      <c r="A16" s="154">
        <v>12</v>
      </c>
      <c r="B16" s="155" t="s">
        <v>700</v>
      </c>
      <c r="C16" s="154" t="s">
        <v>629</v>
      </c>
      <c r="D16" s="155"/>
      <c r="E16" s="155"/>
      <c r="F16" s="156"/>
    </row>
    <row r="17" spans="1:14" ht="37.5" customHeight="1" x14ac:dyDescent="0.25">
      <c r="A17" s="154">
        <v>13</v>
      </c>
      <c r="B17" s="155" t="s">
        <v>701</v>
      </c>
      <c r="C17" s="154" t="s">
        <v>629</v>
      </c>
      <c r="D17" s="155" t="s">
        <v>712</v>
      </c>
      <c r="E17" s="155"/>
      <c r="F17" s="156"/>
    </row>
    <row r="18" spans="1:14" ht="39.75" customHeight="1" x14ac:dyDescent="0.25">
      <c r="A18" s="154">
        <v>14</v>
      </c>
      <c r="B18" s="155" t="s">
        <v>702</v>
      </c>
      <c r="C18" s="154" t="s">
        <v>629</v>
      </c>
      <c r="D18" s="155" t="s">
        <v>713</v>
      </c>
      <c r="E18" s="155"/>
      <c r="F18" s="156"/>
    </row>
    <row r="19" spans="1:14" ht="88.5" customHeight="1" x14ac:dyDescent="0.25">
      <c r="A19" s="154">
        <v>15</v>
      </c>
      <c r="B19" s="155" t="s">
        <v>703</v>
      </c>
      <c r="C19" s="154" t="s">
        <v>629</v>
      </c>
      <c r="D19" s="155" t="s">
        <v>716</v>
      </c>
      <c r="E19" s="155"/>
      <c r="F19" s="157"/>
      <c r="K19" s="158"/>
    </row>
    <row r="20" spans="1:14" ht="75" customHeight="1" x14ac:dyDescent="0.25">
      <c r="A20" s="154">
        <v>16</v>
      </c>
      <c r="B20" s="155" t="s">
        <v>704</v>
      </c>
      <c r="C20" s="154" t="s">
        <v>629</v>
      </c>
      <c r="D20" s="155"/>
      <c r="E20" s="155"/>
      <c r="F20" s="156"/>
    </row>
    <row r="21" spans="1:14" ht="40.5" customHeight="1" x14ac:dyDescent="0.25">
      <c r="A21" s="154">
        <v>17</v>
      </c>
      <c r="B21" s="155" t="s">
        <v>705</v>
      </c>
      <c r="C21" s="154" t="s">
        <v>629</v>
      </c>
      <c r="D21" s="155"/>
      <c r="E21" s="155"/>
      <c r="F21" s="156"/>
    </row>
    <row r="22" spans="1:14" ht="113.25" customHeight="1" x14ac:dyDescent="0.25">
      <c r="A22" s="154">
        <v>18</v>
      </c>
      <c r="B22" s="155" t="s">
        <v>706</v>
      </c>
      <c r="C22" s="154" t="s">
        <v>629</v>
      </c>
      <c r="D22" s="155"/>
      <c r="E22" s="155"/>
      <c r="F22" s="156"/>
    </row>
    <row r="23" spans="1:14" ht="62.25" customHeight="1" x14ac:dyDescent="0.25">
      <c r="A23" s="154">
        <v>19</v>
      </c>
      <c r="B23" s="155" t="s">
        <v>707</v>
      </c>
      <c r="C23" s="154" t="s">
        <v>714</v>
      </c>
      <c r="D23" s="155"/>
      <c r="E23" s="155"/>
      <c r="F23" s="156"/>
    </row>
    <row r="24" spans="1:14" ht="30" customHeight="1" x14ac:dyDescent="0.25">
      <c r="A24" s="154">
        <v>20</v>
      </c>
      <c r="B24" s="155" t="s">
        <v>708</v>
      </c>
      <c r="C24" s="154" t="s">
        <v>629</v>
      </c>
      <c r="D24" s="155"/>
      <c r="E24" s="155"/>
      <c r="F24" s="156"/>
    </row>
    <row r="25" spans="1:14" ht="59.25" customHeight="1" x14ac:dyDescent="0.25">
      <c r="A25" s="154">
        <v>21</v>
      </c>
      <c r="B25" s="155" t="s">
        <v>709</v>
      </c>
      <c r="C25" s="154" t="s">
        <v>629</v>
      </c>
      <c r="D25" s="155"/>
      <c r="E25" s="155"/>
      <c r="F25" s="156"/>
    </row>
    <row r="26" spans="1:14" x14ac:dyDescent="0.25">
      <c r="M26" s="159"/>
      <c r="N26" s="160"/>
    </row>
    <row r="27" spans="1:14" x14ac:dyDescent="0.25">
      <c r="M27" s="159"/>
      <c r="N27" s="160"/>
    </row>
    <row r="28" spans="1:14" x14ac:dyDescent="0.25">
      <c r="M28" s="159"/>
      <c r="N28" s="160"/>
    </row>
    <row r="29" spans="1:14" x14ac:dyDescent="0.25">
      <c r="M29" s="159"/>
      <c r="N29" s="160"/>
    </row>
    <row r="30" spans="1:14" x14ac:dyDescent="0.25">
      <c r="M30" s="159"/>
      <c r="N30" s="160"/>
    </row>
    <row r="31" spans="1:14" x14ac:dyDescent="0.25">
      <c r="M31" s="159"/>
      <c r="N31" s="160"/>
    </row>
    <row r="32" spans="1:14" x14ac:dyDescent="0.25">
      <c r="M32" s="159"/>
      <c r="N32" s="160"/>
    </row>
    <row r="33" spans="13:14" x14ac:dyDescent="0.25">
      <c r="M33" s="159"/>
      <c r="N33" s="160"/>
    </row>
    <row r="34" spans="13:14" x14ac:dyDescent="0.25">
      <c r="M34" s="159"/>
      <c r="N34" s="160"/>
    </row>
    <row r="35" spans="13:14" x14ac:dyDescent="0.25">
      <c r="M35" s="159"/>
      <c r="N35" s="160"/>
    </row>
    <row r="36" spans="13:14" x14ac:dyDescent="0.25">
      <c r="M36" s="159"/>
      <c r="N36" s="160"/>
    </row>
    <row r="37" spans="13:14" x14ac:dyDescent="0.25">
      <c r="M37" s="159"/>
      <c r="N37" s="160"/>
    </row>
    <row r="38" spans="13:14" x14ac:dyDescent="0.25">
      <c r="M38" s="159"/>
      <c r="N38" s="160"/>
    </row>
    <row r="39" spans="13:14" x14ac:dyDescent="0.25">
      <c r="M39" s="159"/>
      <c r="N39" s="160"/>
    </row>
    <row r="40" spans="13:14" x14ac:dyDescent="0.25">
      <c r="M40" s="159"/>
      <c r="N40" s="160"/>
    </row>
  </sheetData>
  <mergeCells count="6">
    <mergeCell ref="A1:B1"/>
    <mergeCell ref="C1:F1"/>
    <mergeCell ref="A2:B2"/>
    <mergeCell ref="E2:F2"/>
    <mergeCell ref="A3:B3"/>
    <mergeCell ref="E3:F3"/>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770645-F7A7-434A-90CC-CCC0821EEA8D}">
  <dimension ref="A1:E4"/>
  <sheetViews>
    <sheetView zoomScale="70" zoomScaleNormal="70" workbookViewId="0">
      <selection activeCell="B2" sqref="B2"/>
    </sheetView>
  </sheetViews>
  <sheetFormatPr defaultRowHeight="15" x14ac:dyDescent="0.25"/>
  <cols>
    <col min="1" max="1" width="8.7109375" customWidth="1"/>
    <col min="2" max="2" width="70.7109375" customWidth="1"/>
    <col min="3" max="3" width="69.42578125" customWidth="1"/>
    <col min="4" max="4" width="70.28515625" customWidth="1"/>
    <col min="5" max="5" width="69.85546875" customWidth="1"/>
    <col min="6" max="6" width="51.85546875" customWidth="1"/>
    <col min="7" max="7" width="51.7109375" customWidth="1"/>
  </cols>
  <sheetData>
    <row r="1" spans="1:5" ht="73.5" customHeight="1" x14ac:dyDescent="0.25">
      <c r="A1" s="8" t="s">
        <v>503</v>
      </c>
      <c r="B1" s="167" t="s">
        <v>747</v>
      </c>
      <c r="C1" s="171" t="s">
        <v>752</v>
      </c>
      <c r="D1" s="167" t="s">
        <v>748</v>
      </c>
      <c r="E1" s="167" t="s">
        <v>749</v>
      </c>
    </row>
    <row r="2" spans="1:5" ht="117.75" customHeight="1" x14ac:dyDescent="0.25">
      <c r="A2" s="10" t="s">
        <v>328</v>
      </c>
      <c r="B2" s="9"/>
      <c r="C2" s="172"/>
      <c r="D2" s="9"/>
      <c r="E2" s="9"/>
    </row>
    <row r="3" spans="1:5" ht="187.5" customHeight="1" x14ac:dyDescent="0.25">
      <c r="A3" s="8" t="s">
        <v>329</v>
      </c>
      <c r="B3" s="9"/>
      <c r="C3" s="172"/>
      <c r="D3" s="9"/>
      <c r="E3" s="9"/>
    </row>
    <row r="4" spans="1:5" ht="189" customHeight="1" x14ac:dyDescent="0.25">
      <c r="A4" s="8" t="s">
        <v>330</v>
      </c>
      <c r="B4" s="9"/>
      <c r="C4" s="172"/>
      <c r="D4" s="9"/>
      <c r="E4" s="9"/>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20</vt:i4>
      </vt:variant>
      <vt:variant>
        <vt:lpstr>Named Ranges</vt:lpstr>
      </vt:variant>
      <vt:variant>
        <vt:i4>1</vt:i4>
      </vt:variant>
    </vt:vector>
  </HeadingPairs>
  <TitlesOfParts>
    <vt:vector size="21" baseType="lpstr">
      <vt:lpstr>Sheet1</vt:lpstr>
      <vt:lpstr>Lựa chọn linh kiện</vt:lpstr>
      <vt:lpstr>Sơ đồ nguyên lý Driver</vt:lpstr>
      <vt:lpstr>Tụ hóa đầu vào</vt:lpstr>
      <vt:lpstr>Biến áp + Diode</vt:lpstr>
      <vt:lpstr>Trở khởi động</vt:lpstr>
      <vt:lpstr>Snubber</vt:lpstr>
      <vt:lpstr>Layout PCB</vt:lpstr>
      <vt:lpstr>Nhiễu EMC</vt:lpstr>
      <vt:lpstr>Thông số điện áp đầu ra</vt:lpstr>
      <vt:lpstr>Ripple điện áp đầu ra</vt:lpstr>
      <vt:lpstr>Dạng sóng làm việc</vt:lpstr>
      <vt:lpstr>Nhiệt độ</vt:lpstr>
      <vt:lpstr>Hở tải - Ngắn mạch - Ứng suất</vt:lpstr>
      <vt:lpstr>An toàn điện</vt:lpstr>
      <vt:lpstr>Cuộn biến áp</vt:lpstr>
      <vt:lpstr>Diode xả</vt:lpstr>
      <vt:lpstr>Lưu ý thiết kế mạch Touch</vt:lpstr>
      <vt:lpstr>Tiêu chí thử nghiệm</vt:lpstr>
      <vt:lpstr>Sheet2</vt:lpstr>
      <vt:lpstr>'Dạng sóng làm việc'!Print_Area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PC4</dc:creator>
  <cp:lastModifiedBy>PC4</cp:lastModifiedBy>
  <dcterms:created xsi:type="dcterms:W3CDTF">2015-06-05T18:17:20Z</dcterms:created>
  <dcterms:modified xsi:type="dcterms:W3CDTF">2024-05-09T10:20:29Z</dcterms:modified>
</cp:coreProperties>
</file>